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прил.1" sheetId="1" r:id="rId1"/>
    <sheet name="прил.2" sheetId="2" r:id="rId2"/>
    <sheet name="прил.3" sheetId="5" r:id="rId3"/>
    <sheet name="прил.4" sheetId="3" r:id="rId4"/>
    <sheet name="_params" sheetId="4" state="hidden" r:id="rId5"/>
  </sheets>
  <definedNames>
    <definedName name="APPT" localSheetId="0">прил.1!#REF!</definedName>
    <definedName name="APPT" localSheetId="1">прил.2!$A$24</definedName>
    <definedName name="APPT" localSheetId="2">прил.3!$A$26</definedName>
    <definedName name="APPT" localSheetId="3">прил.4!$A$36</definedName>
    <definedName name="FILE_NAME" localSheetId="0">прил.1!$E$3</definedName>
    <definedName name="FIO" localSheetId="0">прил.1!$B$27</definedName>
    <definedName name="FIO" localSheetId="1">прил.2!$G$24</definedName>
    <definedName name="FIO" localSheetId="2">прил.3!$J$26</definedName>
    <definedName name="FORM_CODE" localSheetId="0">прил.1!$E$5</definedName>
    <definedName name="LAST_CELL" localSheetId="0">прил.1!#REF!</definedName>
    <definedName name="LAST_CELL" localSheetId="1">прил.2!$I$254</definedName>
    <definedName name="LAST_CELL" localSheetId="2">прил.3!$L$256</definedName>
    <definedName name="LAST_CELL" localSheetId="3">прил.4!#REF!</definedName>
    <definedName name="PARAMS" localSheetId="0">прил.1!$E$1</definedName>
    <definedName name="PERIOD" localSheetId="0">прил.1!#REF!</definedName>
    <definedName name="RANGE_NAMES" localSheetId="0">прил.1!$E$8</definedName>
    <definedName name="RBEGIN_1" localSheetId="0">прил.1!#REF!</definedName>
    <definedName name="RBEGIN_1" localSheetId="1">прил.2!$A$19</definedName>
    <definedName name="RBEGIN_1" localSheetId="2">прил.3!$A$18</definedName>
    <definedName name="RBEGIN_1" localSheetId="3">прил.4!$A$23</definedName>
    <definedName name="REG_DATE" localSheetId="0">прил.1!$E$4</definedName>
    <definedName name="REND_1" localSheetId="0">прил.1!#REF!</definedName>
    <definedName name="REND_1" localSheetId="1">прил.2!$A$255</definedName>
    <definedName name="REND_1" localSheetId="2">прил.3!$A$257</definedName>
    <definedName name="REND_1" localSheetId="3">прил.4!$A$35</definedName>
    <definedName name="S_520" localSheetId="3">прил.4!$A$25</definedName>
    <definedName name="S_620" localSheetId="3">прил.4!$A$27</definedName>
    <definedName name="S_700" localSheetId="3">прил.4!$A$29</definedName>
    <definedName name="S_700A" localSheetId="3">прил.4!$A$30</definedName>
    <definedName name="SIGN" localSheetId="0">прил.1!$A$26:$B$28</definedName>
    <definedName name="SIGN" localSheetId="1">прил.2!$A$23:$G$25</definedName>
    <definedName name="SIGN" localSheetId="2">прил.3!$A$25:$J$27</definedName>
    <definedName name="SIGN" localSheetId="3">прил.4!$A$36:$C$37</definedName>
    <definedName name="SRC_CODE" localSheetId="0">прил.1!$E$7</definedName>
    <definedName name="SRC_KIND" localSheetId="0">прил.1!$E$6</definedName>
  </definedNames>
  <calcPr calcId="145621"/>
</workbook>
</file>

<file path=xl/calcChain.xml><?xml version="1.0" encoding="utf-8"?>
<calcChain xmlns="http://schemas.openxmlformats.org/spreadsheetml/2006/main">
  <c r="D35" i="3" l="1"/>
  <c r="D33" i="3"/>
  <c r="D23" i="3"/>
  <c r="K254" i="5"/>
  <c r="K253" i="5"/>
  <c r="K252" i="5"/>
  <c r="L252" i="5" s="1"/>
  <c r="K251" i="5"/>
  <c r="L251" i="5" s="1"/>
  <c r="K249" i="5"/>
  <c r="K248" i="5"/>
  <c r="K247" i="5"/>
  <c r="K246" i="5"/>
  <c r="K245" i="5"/>
  <c r="K244" i="5"/>
  <c r="K242" i="5"/>
  <c r="K241" i="5"/>
  <c r="K240" i="5"/>
  <c r="K239" i="5"/>
  <c r="K238" i="5"/>
  <c r="K237" i="5"/>
  <c r="L237" i="5" s="1"/>
  <c r="K235" i="5"/>
  <c r="K233" i="5"/>
  <c r="K234" i="5"/>
  <c r="K232" i="5"/>
  <c r="K231" i="5"/>
  <c r="K228" i="5"/>
  <c r="K227" i="5"/>
  <c r="K225" i="5"/>
  <c r="L225" i="5" s="1"/>
  <c r="K224" i="5"/>
  <c r="K223" i="5"/>
  <c r="K222" i="5"/>
  <c r="K217" i="5"/>
  <c r="L217" i="5" s="1"/>
  <c r="K213" i="5"/>
  <c r="K212" i="5"/>
  <c r="K211" i="5"/>
  <c r="K210" i="5"/>
  <c r="K209" i="5"/>
  <c r="K208" i="5"/>
  <c r="K206" i="5"/>
  <c r="K205" i="5"/>
  <c r="K204" i="5"/>
  <c r="K203" i="5"/>
  <c r="K202" i="5"/>
  <c r="K201" i="5"/>
  <c r="K199" i="5"/>
  <c r="L199" i="5" s="1"/>
  <c r="K198" i="5"/>
  <c r="L198" i="5" s="1"/>
  <c r="K197" i="5"/>
  <c r="K196" i="5"/>
  <c r="K194" i="5"/>
  <c r="L194" i="5" s="1"/>
  <c r="K193" i="5"/>
  <c r="L193" i="5" s="1"/>
  <c r="K191" i="5"/>
  <c r="K190" i="5"/>
  <c r="K189" i="5"/>
  <c r="K188" i="5"/>
  <c r="K187" i="5"/>
  <c r="K185" i="5"/>
  <c r="K184" i="5"/>
  <c r="K183" i="5"/>
  <c r="K182" i="5"/>
  <c r="L182" i="5" s="1"/>
  <c r="K180" i="5"/>
  <c r="K179" i="5"/>
  <c r="K177" i="5"/>
  <c r="L177" i="5" s="1"/>
  <c r="K176" i="5"/>
  <c r="L176" i="5" s="1"/>
  <c r="K175" i="5"/>
  <c r="L175" i="5" s="1"/>
  <c r="K174" i="5"/>
  <c r="L174" i="5" s="1"/>
  <c r="K173" i="5"/>
  <c r="K171" i="5"/>
  <c r="K170" i="5"/>
  <c r="K168" i="5"/>
  <c r="L168" i="5" s="1"/>
  <c r="K167" i="5"/>
  <c r="K166" i="5"/>
  <c r="K165" i="5"/>
  <c r="K164" i="5"/>
  <c r="K163" i="5"/>
  <c r="K161" i="5"/>
  <c r="K160" i="5"/>
  <c r="K158" i="5"/>
  <c r="K157" i="5"/>
  <c r="L157" i="5" s="1"/>
  <c r="K155" i="5"/>
  <c r="K154" i="5"/>
  <c r="K153" i="5"/>
  <c r="K152" i="5"/>
  <c r="K149" i="5"/>
  <c r="K148" i="5"/>
  <c r="L148" i="5" s="1"/>
  <c r="K147" i="5"/>
  <c r="K146" i="5"/>
  <c r="L146" i="5" s="1"/>
  <c r="K145" i="5"/>
  <c r="L145" i="5" s="1"/>
  <c r="K143" i="5"/>
  <c r="L143" i="5" s="1"/>
  <c r="K142" i="5"/>
  <c r="L142" i="5" s="1"/>
  <c r="K140" i="5"/>
  <c r="K139" i="5"/>
  <c r="K138" i="5"/>
  <c r="L138" i="5"/>
  <c r="K136" i="5"/>
  <c r="K135" i="5"/>
  <c r="K133" i="5"/>
  <c r="K132" i="5"/>
  <c r="K131" i="5"/>
  <c r="K130" i="5"/>
  <c r="K129" i="5"/>
  <c r="K128" i="5"/>
  <c r="K122" i="5"/>
  <c r="K121" i="5"/>
  <c r="K120" i="5"/>
  <c r="K119" i="5"/>
  <c r="K118" i="5"/>
  <c r="L118" i="5" s="1"/>
  <c r="K116" i="5"/>
  <c r="L116" i="5" s="1"/>
  <c r="K115" i="5"/>
  <c r="L115" i="5" s="1"/>
  <c r="K114" i="5"/>
  <c r="L114" i="5" s="1"/>
  <c r="K112" i="5"/>
  <c r="K111" i="5"/>
  <c r="K110" i="5"/>
  <c r="K107" i="5"/>
  <c r="L107" i="5" s="1"/>
  <c r="K106" i="5"/>
  <c r="K105" i="5"/>
  <c r="K104" i="5"/>
  <c r="K103" i="5"/>
  <c r="L103" i="5" s="1"/>
  <c r="K102" i="5"/>
  <c r="K100" i="5"/>
  <c r="K97" i="5"/>
  <c r="K96" i="5"/>
  <c r="L96" i="5"/>
  <c r="K95" i="5"/>
  <c r="L97" i="5"/>
  <c r="K94" i="5"/>
  <c r="K93" i="5"/>
  <c r="L93" i="5" s="1"/>
  <c r="K92" i="5"/>
  <c r="L92" i="5" s="1"/>
  <c r="K89" i="5"/>
  <c r="K87" i="5"/>
  <c r="L87" i="5" s="1"/>
  <c r="K85" i="5"/>
  <c r="L85" i="5" s="1"/>
  <c r="K84" i="5"/>
  <c r="L84" i="5" s="1"/>
  <c r="K83" i="5"/>
  <c r="K82" i="5"/>
  <c r="L82" i="5" s="1"/>
  <c r="K81" i="5"/>
  <c r="L81" i="5" s="1"/>
  <c r="K74" i="5"/>
  <c r="L74" i="5" s="1"/>
  <c r="K73" i="5"/>
  <c r="K72" i="5"/>
  <c r="K71" i="5"/>
  <c r="K70" i="5"/>
  <c r="L70" i="5" s="1"/>
  <c r="K69" i="5"/>
  <c r="K68" i="5"/>
  <c r="K67" i="5"/>
  <c r="K66" i="5"/>
  <c r="L66" i="5" s="1"/>
  <c r="K65" i="5"/>
  <c r="K62" i="5"/>
  <c r="K61" i="5"/>
  <c r="K60" i="5"/>
  <c r="L60" i="5" s="1"/>
  <c r="K59" i="5"/>
  <c r="L59" i="5" s="1"/>
  <c r="K58" i="5"/>
  <c r="L58" i="5" s="1"/>
  <c r="K57" i="5"/>
  <c r="K56" i="5"/>
  <c r="K55" i="5"/>
  <c r="L55" i="5" s="1"/>
  <c r="K54" i="5"/>
  <c r="L54" i="5" s="1"/>
  <c r="K51" i="5"/>
  <c r="L51" i="5" s="1"/>
  <c r="K47" i="5"/>
  <c r="K46" i="5"/>
  <c r="K45" i="5"/>
  <c r="K44" i="5"/>
  <c r="K43" i="5"/>
  <c r="K40" i="5"/>
  <c r="L40" i="5" s="1"/>
  <c r="K37" i="5"/>
  <c r="K34" i="5"/>
  <c r="K33" i="5"/>
  <c r="L33" i="5" s="1"/>
  <c r="K32" i="5"/>
  <c r="L32" i="5" s="1"/>
  <c r="K31" i="5"/>
  <c r="K30" i="5"/>
  <c r="L30" i="5" s="1"/>
  <c r="K27" i="5"/>
  <c r="K26" i="5"/>
  <c r="K25" i="5"/>
  <c r="K24" i="5"/>
  <c r="K23" i="5"/>
  <c r="K22" i="5"/>
  <c r="K21" i="5"/>
  <c r="K18" i="5"/>
  <c r="H243" i="2"/>
  <c r="I243" i="2" s="1"/>
  <c r="H242" i="2"/>
  <c r="H236" i="2"/>
  <c r="H235" i="2"/>
  <c r="I235" i="2" s="1"/>
  <c r="H229" i="2"/>
  <c r="H207" i="2"/>
  <c r="I207" i="2" s="1"/>
  <c r="H206" i="2"/>
  <c r="I206" i="2" s="1"/>
  <c r="H200" i="2"/>
  <c r="H199" i="2"/>
  <c r="H185" i="2"/>
  <c r="H171" i="2"/>
  <c r="I171" i="2" s="1"/>
  <c r="H162" i="2"/>
  <c r="I162" i="2" s="1"/>
  <c r="H161" i="2"/>
  <c r="H143" i="2"/>
  <c r="H127" i="2"/>
  <c r="H126" i="2"/>
  <c r="I126" i="2" s="1"/>
  <c r="H116" i="2"/>
  <c r="H101" i="2"/>
  <c r="H100" i="2"/>
  <c r="I100" i="2" s="1"/>
  <c r="H91" i="2"/>
  <c r="I91" i="2" s="1"/>
  <c r="H90" i="2"/>
  <c r="H79" i="2"/>
  <c r="H68" i="2"/>
  <c r="H63" i="2"/>
  <c r="I63" i="2" s="1"/>
  <c r="H41" i="2"/>
  <c r="H28" i="2"/>
  <c r="H21" i="2"/>
  <c r="I21" i="2" s="1"/>
  <c r="H20" i="2"/>
  <c r="I20" i="2" s="1"/>
  <c r="H19" i="2"/>
  <c r="I19" i="2" s="1"/>
  <c r="C99" i="1"/>
  <c r="C96" i="1"/>
  <c r="C94" i="1"/>
  <c r="C91" i="1"/>
  <c r="C88" i="1"/>
  <c r="C84" i="1"/>
  <c r="C83" i="1"/>
  <c r="C81" i="1"/>
  <c r="C80" i="1"/>
  <c r="C78" i="1"/>
  <c r="C77" i="1"/>
  <c r="C74" i="1"/>
  <c r="C73" i="1"/>
  <c r="C70" i="1"/>
  <c r="C69" i="1"/>
  <c r="C66" i="1"/>
  <c r="C63" i="1"/>
  <c r="C58" i="1"/>
  <c r="C56" i="1"/>
  <c r="C55" i="1"/>
  <c r="C52" i="1"/>
  <c r="C51" i="1"/>
  <c r="C50" i="1"/>
  <c r="C48" i="1"/>
  <c r="C46" i="1"/>
  <c r="C45" i="1"/>
  <c r="C44" i="1"/>
  <c r="C43" i="1"/>
  <c r="C42" i="1"/>
  <c r="C41" i="1"/>
  <c r="C40" i="1"/>
  <c r="C39" i="1"/>
  <c r="C35" i="1"/>
  <c r="C32" i="1"/>
  <c r="C27" i="1"/>
  <c r="C26" i="1"/>
  <c r="C25" i="1"/>
  <c r="C24" i="1"/>
  <c r="C22" i="1"/>
  <c r="L255" i="5"/>
  <c r="L254" i="5"/>
  <c r="L253" i="5"/>
  <c r="L250" i="5"/>
  <c r="L249" i="5"/>
  <c r="L248" i="5"/>
  <c r="L247" i="5"/>
  <c r="L246" i="5"/>
  <c r="L245" i="5"/>
  <c r="L244" i="5"/>
  <c r="L243" i="5"/>
  <c r="L242" i="5"/>
  <c r="L241" i="5"/>
  <c r="L240" i="5"/>
  <c r="L239" i="5"/>
  <c r="L238" i="5"/>
  <c r="L236" i="5"/>
  <c r="L235" i="5"/>
  <c r="L234" i="5"/>
  <c r="L233" i="5"/>
  <c r="L232" i="5"/>
  <c r="L231" i="5"/>
  <c r="L230" i="5"/>
  <c r="L229" i="5"/>
  <c r="L228" i="5"/>
  <c r="L227" i="5"/>
  <c r="L226" i="5"/>
  <c r="L224" i="5"/>
  <c r="L223" i="5"/>
  <c r="L222" i="5"/>
  <c r="L221" i="5"/>
  <c r="L220" i="5"/>
  <c r="L219" i="5"/>
  <c r="L218" i="5"/>
  <c r="L216" i="5"/>
  <c r="L215" i="5"/>
  <c r="L214" i="5"/>
  <c r="L213" i="5"/>
  <c r="L212" i="5"/>
  <c r="L211" i="5"/>
  <c r="L210" i="5"/>
  <c r="L209" i="5"/>
  <c r="L208" i="5"/>
  <c r="L207" i="5"/>
  <c r="L206" i="5"/>
  <c r="L205" i="5"/>
  <c r="L204" i="5"/>
  <c r="L203" i="5"/>
  <c r="L202" i="5"/>
  <c r="L201" i="5"/>
  <c r="L200" i="5"/>
  <c r="L197" i="5"/>
  <c r="L196" i="5"/>
  <c r="L195" i="5"/>
  <c r="L192" i="5"/>
  <c r="L191" i="5"/>
  <c r="L190" i="5"/>
  <c r="L189" i="5"/>
  <c r="L188" i="5"/>
  <c r="L187" i="5"/>
  <c r="L186" i="5"/>
  <c r="L185" i="5"/>
  <c r="L184" i="5"/>
  <c r="L183" i="5"/>
  <c r="L181" i="5"/>
  <c r="L180" i="5"/>
  <c r="L179" i="5"/>
  <c r="L178" i="5"/>
  <c r="L173" i="5"/>
  <c r="L172" i="5"/>
  <c r="L171" i="5"/>
  <c r="L170" i="5"/>
  <c r="L169" i="5"/>
  <c r="L167" i="5"/>
  <c r="L166" i="5"/>
  <c r="L165" i="5"/>
  <c r="L164" i="5"/>
  <c r="L163" i="5"/>
  <c r="L162" i="5"/>
  <c r="L161" i="5"/>
  <c r="L160" i="5"/>
  <c r="L159" i="5"/>
  <c r="L158" i="5"/>
  <c r="L156" i="5"/>
  <c r="L155" i="5"/>
  <c r="L154" i="5"/>
  <c r="L153" i="5"/>
  <c r="L152" i="5"/>
  <c r="L151" i="5"/>
  <c r="L150" i="5"/>
  <c r="L149" i="5"/>
  <c r="L147" i="5"/>
  <c r="L144" i="5"/>
  <c r="L141" i="5"/>
  <c r="L140" i="5"/>
  <c r="L139" i="5"/>
  <c r="L137" i="5"/>
  <c r="L136" i="5"/>
  <c r="L135" i="5"/>
  <c r="L134" i="5"/>
  <c r="L133" i="5"/>
  <c r="L132" i="5"/>
  <c r="L131" i="5"/>
  <c r="L130" i="5"/>
  <c r="L129" i="5"/>
  <c r="L128" i="5"/>
  <c r="L127" i="5"/>
  <c r="L126" i="5"/>
  <c r="L125" i="5"/>
  <c r="L124" i="5"/>
  <c r="L123" i="5"/>
  <c r="L122" i="5"/>
  <c r="L121" i="5"/>
  <c r="L120" i="5"/>
  <c r="L119" i="5"/>
  <c r="L117" i="5"/>
  <c r="L113" i="5"/>
  <c r="L112" i="5"/>
  <c r="L111" i="5"/>
  <c r="L110" i="5"/>
  <c r="L109" i="5"/>
  <c r="L108" i="5"/>
  <c r="L106" i="5"/>
  <c r="L105" i="5"/>
  <c r="L104" i="5"/>
  <c r="L102" i="5"/>
  <c r="L101" i="5"/>
  <c r="L100" i="5"/>
  <c r="L99" i="5"/>
  <c r="L98" i="5"/>
  <c r="L95" i="5"/>
  <c r="L94" i="5"/>
  <c r="L91" i="5"/>
  <c r="L90" i="5"/>
  <c r="L89" i="5"/>
  <c r="L88" i="5"/>
  <c r="L86" i="5"/>
  <c r="L83" i="5"/>
  <c r="L80" i="5"/>
  <c r="L79" i="5"/>
  <c r="L78" i="5"/>
  <c r="L77" i="5"/>
  <c r="L76" i="5"/>
  <c r="L75" i="5"/>
  <c r="L73" i="5"/>
  <c r="L72" i="5"/>
  <c r="L71" i="5"/>
  <c r="L69" i="5"/>
  <c r="L68" i="5"/>
  <c r="L67" i="5"/>
  <c r="L65" i="5"/>
  <c r="L64" i="5"/>
  <c r="L63" i="5"/>
  <c r="L62" i="5"/>
  <c r="L61" i="5"/>
  <c r="L57" i="5"/>
  <c r="L56" i="5"/>
  <c r="L53" i="5"/>
  <c r="L52" i="5"/>
  <c r="L50" i="5"/>
  <c r="L49" i="5"/>
  <c r="L48" i="5"/>
  <c r="L47" i="5"/>
  <c r="L46" i="5"/>
  <c r="L45" i="5"/>
  <c r="L44" i="5"/>
  <c r="L43" i="5"/>
  <c r="L42" i="5"/>
  <c r="L41" i="5"/>
  <c r="L39" i="5"/>
  <c r="L38" i="5"/>
  <c r="L37" i="5"/>
  <c r="L36" i="5"/>
  <c r="L35" i="5"/>
  <c r="L34" i="5"/>
  <c r="L31" i="5"/>
  <c r="L29" i="5"/>
  <c r="L28" i="5"/>
  <c r="L27" i="5"/>
  <c r="L26" i="5"/>
  <c r="L25" i="5"/>
  <c r="L24" i="5"/>
  <c r="L23" i="5"/>
  <c r="L22" i="5"/>
  <c r="L21" i="5"/>
  <c r="L20" i="5"/>
  <c r="L18" i="5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2" i="2"/>
  <c r="I93" i="2"/>
  <c r="I94" i="2"/>
  <c r="I95" i="2"/>
  <c r="I96" i="2"/>
  <c r="I97" i="2"/>
  <c r="I98" i="2"/>
  <c r="I99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3" i="2"/>
  <c r="I164" i="2"/>
  <c r="I165" i="2"/>
  <c r="I166" i="2"/>
  <c r="I167" i="2"/>
  <c r="I168" i="2"/>
  <c r="I169" i="2"/>
  <c r="I170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6" i="2"/>
  <c r="I237" i="2"/>
  <c r="I238" i="2"/>
  <c r="I239" i="2"/>
  <c r="I240" i="2"/>
  <c r="I241" i="2"/>
  <c r="I242" i="2"/>
  <c r="I244" i="2"/>
  <c r="I245" i="2"/>
  <c r="I246" i="2"/>
  <c r="I247" i="2"/>
  <c r="I248" i="2"/>
  <c r="I249" i="2"/>
  <c r="I250" i="2"/>
  <c r="I251" i="2"/>
  <c r="I252" i="2"/>
  <c r="I253" i="2"/>
</calcChain>
</file>

<file path=xl/sharedStrings.xml><?xml version="1.0" encoding="utf-8"?>
<sst xmlns="http://schemas.openxmlformats.org/spreadsheetml/2006/main" count="2288" uniqueCount="660">
  <si>
    <t>01.01.2018</t>
  </si>
  <si>
    <t>008</t>
  </si>
  <si>
    <t xml:space="preserve"> Наименование показателя</t>
  </si>
  <si>
    <t>Код строки</t>
  </si>
  <si>
    <t>Код дохода по бюджетной классификации</t>
  </si>
  <si>
    <t>Исполнено</t>
  </si>
  <si>
    <t>Неисполненные назначения</t>
  </si>
  <si>
    <t>5</t>
  </si>
  <si>
    <t>6</t>
  </si>
  <si>
    <t>Доходы бюджета - всего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</si>
  <si>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</si>
  <si>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</si>
  <si>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</si>
  <si>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</si>
  <si>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</si>
  <si>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</si>
  <si>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</si>
  <si>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</si>
  <si>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</si>
  <si>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</si>
  <si>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</si>
  <si>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</si>
  <si>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</si>
  <si>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</si>
  <si>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</si>
  <si>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</si>
  <si>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</si>
  <si>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</si>
  <si>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</si>
  <si>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</si>
  <si>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</si>
  <si>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</si>
  <si>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</si>
  <si>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</si>
  <si>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</si>
  <si>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</si>
  <si>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</si>
  <si>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</si>
  <si>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</si>
  <si>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</si>
  <si>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</si>
  <si>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</si>
  <si>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</si>
  <si>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</si>
  <si>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</si>
  <si>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</si>
  <si>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</si>
  <si>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</si>
  <si>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</si>
  <si>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</si>
  <si>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</si>
  <si>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</si>
  <si>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</si>
  <si>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</si>
  <si>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</si>
  <si>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</si>
  <si>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</si>
  <si>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</si>
  <si>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</si>
  <si>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</si>
  <si>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</si>
  <si>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</si>
  <si>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</si>
  <si>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</si>
  <si>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</si>
  <si>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</si>
  <si>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</si>
  <si>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</si>
  <si>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</si>
  <si>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</si>
  <si>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</si>
  <si>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</si>
  <si>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</si>
  <si>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</si>
  <si>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</si>
  <si>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</si>
  <si>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</si>
  <si>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</si>
  <si>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</si>
  <si>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</si>
  <si>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</si>
  <si>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</si>
  <si>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</si>
  <si>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</si>
  <si>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</si>
  <si>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</si>
  <si>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</si>
  <si>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</si>
  <si>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</si>
  <si>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</si>
  <si>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</si>
  <si>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</si>
  <si>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</si>
  <si>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</si>
  <si>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</si>
  <si>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</si>
  <si>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</si>
  <si>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</si>
  <si>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</si>
  <si>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</si>
  <si>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</si>
  <si>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</si>
  <si>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</si>
  <si>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</si>
  <si>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</si>
  <si>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</si>
  <si>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</si>
  <si>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</si>
  <si>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</si>
  <si>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</si>
  <si>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</si>
  <si>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</si>
  <si>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</si>
  <si>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</si>
  <si>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</si>
  <si>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</si>
  <si>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</si>
  <si>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</si>
  <si>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</si>
  <si>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</si>
  <si>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</si>
  <si>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</si>
  <si>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</si>
  <si>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</si>
  <si>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</si>
  <si>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</si>
  <si>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</si>
  <si>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</si>
  <si>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</si>
  <si>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</si>
  <si>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</si>
  <si>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</si>
  <si>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</si>
  <si>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</si>
  <si>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</si>
  <si>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</si>
  <si>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</si>
  <si>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</si>
  <si>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</si>
  <si>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</si>
  <si>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</si>
  <si>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</si>
  <si>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</si>
  <si>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</si>
  <si>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</si>
  <si>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</si>
  <si>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</si>
  <si>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</si>
  <si>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</si>
  <si>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</si>
  <si>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</si>
  <si>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</si>
  <si>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</si>
  <si>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</si>
  <si>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</si>
  <si>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</si>
  <si>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</si>
  <si>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</si>
  <si>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</si>
  <si>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</si>
  <si>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</si>
  <si>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</si>
  <si>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</si>
  <si>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</si>
  <si>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</si>
  <si>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</si>
  <si>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</si>
  <si>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Прочие безвозмездные поступления в бюджеты сельских поселений</t>
  </si>
  <si>
    <t>000 20705030100000180</t>
  </si>
  <si>
    <t>Форма 0503117  с.2</t>
  </si>
  <si>
    <t>200</t>
  </si>
  <si>
    <t>x</t>
  </si>
  <si>
    <t>НЕ УКАЗАНО</t>
  </si>
  <si>
    <t xml:space="preserve">000 0000 0000000000 000 </t>
  </si>
  <si>
    <t>Администрация Тельмановского сельского поселения Тосненского района Ленинградской области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</si>
  <si>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</si>
  <si>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</si>
  <si>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008 0102 9100000000 000 </t>
  </si>
  <si>
    <t>Непрограммные расходы</t>
  </si>
  <si>
    <t xml:space="preserve">008 0102 9110100000 000 </t>
  </si>
  <si>
    <t>Обеспечение деятельности Главы муниципального образования Тельмановское сельское поселение Тоненского района Ленинградской области</t>
  </si>
  <si>
    <t xml:space="preserve">008 0102 9110100030 000 </t>
  </si>
  <si>
    <t>Расходы на выплаты персоналу государственных (муниципальных) органов</t>
  </si>
  <si>
    <t xml:space="preserve">008 0102 9110100030 120 </t>
  </si>
  <si>
    <t>Фонд оплаты труда государственных (муниципальных) органов</t>
  </si>
  <si>
    <t xml:space="preserve">008 0102 9110100030 121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</si>
  <si>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</si>
  <si>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</si>
  <si>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</si>
  <si>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008 0103 9100000000 000 </t>
  </si>
  <si>
    <t xml:space="preserve">008 0103 9130100000 000 </t>
  </si>
  <si>
    <t>Обеспечение функций органов местного самоуправления</t>
  </si>
  <si>
    <t xml:space="preserve">008 0103 9130100040 000 </t>
  </si>
  <si>
    <t xml:space="preserve">008 0103 9130100040 120 </t>
  </si>
  <si>
    <t xml:space="preserve">008 0103 9130100040 121 </t>
  </si>
  <si>
    <t xml:space="preserve">008 0103 9130100040 129 </t>
  </si>
  <si>
    <t>Иные закупки товаров, работ и услуг для обеспечения государственных (муниципальных) нужд</t>
  </si>
  <si>
    <t xml:space="preserve">008 0103 9130100040 240 </t>
  </si>
  <si>
    <t>Закупка товаров, работ, услуг в сфере информационно-коммуникационных технологий</t>
  </si>
  <si>
    <t xml:space="preserve">008 0103 9130100040 242 </t>
  </si>
  <si>
    <t>Прочая закупка товаров, работ и услуг для обеспечения государственных (муниципальных) нужд</t>
  </si>
  <si>
    <t xml:space="preserve">008 0103 9130100040 244 </t>
  </si>
  <si>
    <t>Уплата налогов, сборов и иных платежей</t>
  </si>
  <si>
    <t xml:space="preserve">008 0103 9130100040 850 </t>
  </si>
  <si>
    <t>Уплата прочих налогов, сборов</t>
  </si>
  <si>
    <t xml:space="preserve">008 0103 9130100040 852 </t>
  </si>
  <si>
    <t>Уплата иных платежей</t>
  </si>
  <si>
    <t xml:space="preserve">008 0103 9130100040 853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</si>
  <si>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</si>
  <si>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008 0104 9100000000 000 </t>
  </si>
  <si>
    <t xml:space="preserve">008 0104 9130100000 000 </t>
  </si>
  <si>
    <t xml:space="preserve">008 0104 9130100040 000 </t>
  </si>
  <si>
    <t xml:space="preserve">008 0104 9130100040 120 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</si>
  <si>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</si>
  <si>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</si>
  <si>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</si>
  <si>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 xml:space="preserve">008 0104 9130100040 129 </t>
  </si>
  <si>
    <t xml:space="preserve">008 0104 9130100040 240 </t>
  </si>
  <si>
    <t xml:space="preserve">008 0104 9130100040 242 </t>
  </si>
  <si>
    <t xml:space="preserve">008 0104 9130100040 244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</si>
  <si>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</si>
  <si>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008 0104 9130160600 000 </t>
  </si>
  <si>
    <t xml:space="preserve">008 0104 9130160600 540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</si>
  <si>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</si>
  <si>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008 0104 9130160620 000 </t>
  </si>
  <si>
    <t xml:space="preserve">008 0104 9130160620 540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</si>
  <si>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</si>
  <si>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008 0104 9130160650 000 </t>
  </si>
  <si>
    <t xml:space="preserve">008 0104 9130160650 540 </t>
  </si>
  <si>
    <t xml:space="preserve">008 0104 9180100000 000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</si>
  <si>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</si>
  <si>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008 0104 9180100080 000 </t>
  </si>
  <si>
    <t xml:space="preserve">008 0104 9180100080 120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</si>
  <si>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</si>
  <si>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</si>
  <si>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</si>
  <si>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008 0106 9100000000 000 </t>
  </si>
  <si>
    <t xml:space="preserve">008 0106 9130100000 000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</si>
  <si>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</si>
  <si>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008 0106 9130160640 000 </t>
  </si>
  <si>
    <t xml:space="preserve">008 0106 9130160640 540 </t>
  </si>
  <si>
    <t>Обеспечение проведения выборов и референдумов</t>
  </si>
  <si>
    <t xml:space="preserve">008 0107 9900000000 000 </t>
  </si>
  <si>
    <t xml:space="preserve">008 0107 9990100000 000 </t>
  </si>
  <si>
    <t>Обеспечение проведения выборов и референдумов в муниципальном образовании Тельмановское сельское поселении Тосненского района Ленинградской области</t>
  </si>
  <si>
    <t xml:space="preserve">008 0107 9990112240 000 </t>
  </si>
  <si>
    <t xml:space="preserve">008 0107 9990112240 240 </t>
  </si>
  <si>
    <t xml:space="preserve">008 0107 9990112240 244 </t>
  </si>
  <si>
    <t>Резервные фонды</t>
  </si>
  <si>
    <t xml:space="preserve">008 0111 0000000000 000 </t>
  </si>
  <si>
    <t xml:space="preserve">008 0111 9900000000 000 </t>
  </si>
  <si>
    <t xml:space="preserve">008 0111 9990100000 000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</si>
  <si>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</si>
  <si>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008 0111 9990110050 000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</si>
  <si>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</si>
  <si>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</si>
  <si>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</si>
  <si>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008 0113 9200000000 000 </t>
  </si>
  <si>
    <t xml:space="preserve">008 0113 9290100000 000 </t>
  </si>
  <si>
    <t>Выполнение других обязательств муниципальных образований</t>
  </si>
  <si>
    <t xml:space="preserve">008 0113 9290100030 000 </t>
  </si>
  <si>
    <t xml:space="preserve">008 0113 9290100030 240 </t>
  </si>
  <si>
    <t xml:space="preserve">008 0113 9290100030 244 </t>
  </si>
  <si>
    <t>Исполнение судебных актов</t>
  </si>
  <si>
    <t xml:space="preserve">008 0113 9290100030 830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</si>
  <si>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</si>
  <si>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008 0113 9290100030 831 </t>
  </si>
  <si>
    <t xml:space="preserve">008 0113 9290100030 850 </t>
  </si>
  <si>
    <t xml:space="preserve">008 0113 9290100030 852 </t>
  </si>
  <si>
    <t xml:space="preserve">008 0113 9290100030 853 </t>
  </si>
  <si>
    <t>НАЦИОНАЛЬНАЯ ОБОРОНА</t>
  </si>
  <si>
    <t>Мобилизационная и вневойсковая подготовка</t>
  </si>
  <si>
    <t xml:space="preserve">008 0203 9900000000 000 </t>
  </si>
  <si>
    <t xml:space="preserve">008 0203 9990100000 000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</si>
  <si>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</si>
  <si>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008 0203 9990151180 000 </t>
  </si>
  <si>
    <t xml:space="preserve">008 0203 9990151180 120 </t>
  </si>
  <si>
    <t xml:space="preserve">008 0203 9990151180 121 </t>
  </si>
  <si>
    <t xml:space="preserve">008 0203 9990151180 129 </t>
  </si>
  <si>
    <t xml:space="preserve">008 0203 9990151180 240 </t>
  </si>
  <si>
    <t xml:space="preserve">008 0203 9990151180 244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</si>
  <si>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</si>
  <si>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</si>
  <si>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008 0309 0800000000 000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</si>
  <si>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</t>
  </si>
  <si>
    <t xml:space="preserve">008 0309 0810100000 000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</si>
  <si>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</si>
  <si>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008 0309 0810111570 000 </t>
  </si>
  <si>
    <t xml:space="preserve">008 0309 0810111570 240 </t>
  </si>
  <si>
    <t xml:space="preserve">008 0309 0810111570 242 </t>
  </si>
  <si>
    <t xml:space="preserve">008 0309 0810111570 244 </t>
  </si>
  <si>
    <t>Основное мероприятие "Обеспечение пожарной безопасности"</t>
  </si>
  <si>
    <t xml:space="preserve">008 0309 0810200000 000 </t>
  </si>
  <si>
    <t>Мероприятия в области пожарной безопасности</t>
  </si>
  <si>
    <t xml:space="preserve">008 0309 0810211620 000 </t>
  </si>
  <si>
    <t xml:space="preserve">008 0309 0810211620 240 </t>
  </si>
  <si>
    <t xml:space="preserve">008 0309 0810211620 244 </t>
  </si>
  <si>
    <t>Основное мероприятие "Мероприятия по обеспечению общественного правопорядка и профилактике правонарушений"</t>
  </si>
  <si>
    <t xml:space="preserve">008 0309 0820100000 000 </t>
  </si>
  <si>
    <t>Мероприятия, направленные на обеспечение правопорядка</t>
  </si>
  <si>
    <t xml:space="preserve">008 0309 0820111520 000 </t>
  </si>
  <si>
    <t xml:space="preserve">008 0309 0820111520 240 </t>
  </si>
  <si>
    <t xml:space="preserve">008 0309 0820111520 244 </t>
  </si>
  <si>
    <t>Другие вопросы в области национальной безопасности и правоохранительной деятельности</t>
  </si>
  <si>
    <t xml:space="preserve">008 0314 9100000000 000 </t>
  </si>
  <si>
    <t xml:space="preserve">008 0314 9130100000 000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</si>
  <si>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</si>
  <si>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008 0314 9130171340 000 </t>
  </si>
  <si>
    <t xml:space="preserve">008 0314 9130171340 120 </t>
  </si>
  <si>
    <t xml:space="preserve">008 0314 9130171340 121 </t>
  </si>
  <si>
    <t xml:space="preserve">008 0314 9130171340 129 </t>
  </si>
  <si>
    <t xml:space="preserve">008 0314 9130171340 240 </t>
  </si>
  <si>
    <t xml:space="preserve">008 0314 9130171340 242 </t>
  </si>
  <si>
    <t xml:space="preserve">008 0314 9130171340 244 </t>
  </si>
  <si>
    <t>НАЦИОНАЛЬНАЯ ЭКОНОМИКА</t>
  </si>
  <si>
    <t>Дорожное хозяйство (дорожные фонды)</t>
  </si>
  <si>
    <t xml:space="preserve">008 0409 1000000000 000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</si>
  <si>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</si>
  <si>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 xml:space="preserve">008 0409 1010100000 000 </t>
  </si>
  <si>
    <t>Мероприятия по содержанию автомобильных дорог</t>
  </si>
  <si>
    <t xml:space="preserve">008 0409 1010110100 000 </t>
  </si>
  <si>
    <t xml:space="preserve">008 0409 1010110100 240 </t>
  </si>
  <si>
    <t xml:space="preserve">008 0409 1010110100 244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</si>
  <si>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</si>
  <si>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008 0409 1010110110 000 </t>
  </si>
  <si>
    <t xml:space="preserve">008 0409 1010110110 240 </t>
  </si>
  <si>
    <t xml:space="preserve">008 0409 1010110110 244 </t>
  </si>
  <si>
    <t>Основное мероприятие "Мероприяти по оптимизации мер профилактики правонарушений"</t>
  </si>
  <si>
    <t xml:space="preserve">008 0409 1020100000 000 </t>
  </si>
  <si>
    <t xml:space="preserve">008 0409 1020110100 000 </t>
  </si>
  <si>
    <t xml:space="preserve">008 0409 1020110100 240 </t>
  </si>
  <si>
    <t xml:space="preserve">008 0409 1020110100 244 </t>
  </si>
  <si>
    <t>Организация и проведение мероприятий, направленных на повышение безопасности дорожного движения</t>
  </si>
  <si>
    <t xml:space="preserve">008 0409 1020113530 000 </t>
  </si>
  <si>
    <t xml:space="preserve">008 0409 1020113530 240 </t>
  </si>
  <si>
    <t xml:space="preserve">008 0409 1020113530 244 </t>
  </si>
  <si>
    <t>Другие вопросы в области национальной экономики</t>
  </si>
  <si>
    <t xml:space="preserve">008 0412 0500000000 000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</si>
  <si>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</si>
  <si>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008 0412 0500200000 000 </t>
  </si>
  <si>
    <t>Информационно-консультационная и организационно-методическая поддержка субъектов малого и среднего предпринимательства</t>
  </si>
  <si>
    <t xml:space="preserve">008 0412 0500210550 000 </t>
  </si>
  <si>
    <t xml:space="preserve">008 0412 0500210550 240 </t>
  </si>
  <si>
    <t xml:space="preserve">008 0412 0500210550 242 </t>
  </si>
  <si>
    <t xml:space="preserve">008 0412 0500210550 244 </t>
  </si>
  <si>
    <t xml:space="preserve">008 0412 9900000000 000 </t>
  </si>
  <si>
    <t xml:space="preserve">008 0412 9990100000 000 </t>
  </si>
  <si>
    <t>Мероприятия по землеустройству и землепользованию</t>
  </si>
  <si>
    <t xml:space="preserve">008 0412 9990110350 000 </t>
  </si>
  <si>
    <t xml:space="preserve">008 0412 9990110350 240 </t>
  </si>
  <si>
    <t xml:space="preserve">008 0412 9990110350 244 </t>
  </si>
  <si>
    <t>Мероприятия в области национальной экономики</t>
  </si>
  <si>
    <t xml:space="preserve">008 0412 9990110360 000 </t>
  </si>
  <si>
    <t xml:space="preserve">008 0412 9990110360 240 </t>
  </si>
  <si>
    <t xml:space="preserve">008 0412 9990110360 244 </t>
  </si>
  <si>
    <t>Мероприятия в области строительства, архитектуры и градостроительства</t>
  </si>
  <si>
    <t xml:space="preserve">008 0412 9990110400 000 </t>
  </si>
  <si>
    <t xml:space="preserve">008 0412 9990110400 240 </t>
  </si>
  <si>
    <t xml:space="preserve">008 0412 9990110400 244 </t>
  </si>
  <si>
    <t>ЖИЛИЩНО-КОММУНАЛЬНОЕ ХОЗЯЙСТВО</t>
  </si>
  <si>
    <t>Жилищное хозяйство</t>
  </si>
  <si>
    <t xml:space="preserve">008 0501 9900000000 000 </t>
  </si>
  <si>
    <t xml:space="preserve">008 0501 9990100000 000 </t>
  </si>
  <si>
    <t>Мероприятия по капитальному ремонту муниципального жилищного фонда</t>
  </si>
  <si>
    <t xml:space="preserve">008 0501 9990113760 000 </t>
  </si>
  <si>
    <t xml:space="preserve">008 0501 9990113760 240 </t>
  </si>
  <si>
    <t xml:space="preserve">008 0501 9990113760 244 </t>
  </si>
  <si>
    <t>Обеспечение мероприятий по капитальному ремонту многоквартирных домов</t>
  </si>
  <si>
    <t xml:space="preserve">008 0501 9990196010 000 </t>
  </si>
  <si>
    <t xml:space="preserve">008 0501 9990196010 240 </t>
  </si>
  <si>
    <t xml:space="preserve">008 0501 9990196010 244 </t>
  </si>
  <si>
    <t>Коммунальное хозяйство</t>
  </si>
  <si>
    <t xml:space="preserve">008 0502 1300000000 000 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</si>
  <si>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</si>
  <si>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 xml:space="preserve">008 0502 1300100000 000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</si>
  <si>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</si>
  <si>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008 0502 1300110630 000 </t>
  </si>
  <si>
    <t xml:space="preserve">008 0502 1300110630 240 </t>
  </si>
  <si>
    <t xml:space="preserve">008 0502 1300110630 244 </t>
  </si>
  <si>
    <t>Мероприятия направленные на безаварийную работу объектов водоснабжения и водоотведения</t>
  </si>
  <si>
    <t xml:space="preserve">008 0502 1300114260 000 </t>
  </si>
  <si>
    <t xml:space="preserve">008 0502 1300114260 240 </t>
  </si>
  <si>
    <t xml:space="preserve">008 0502 1300114260 244 </t>
  </si>
  <si>
    <t xml:space="preserve">008 0502 9900000000 000 </t>
  </si>
  <si>
    <t xml:space="preserve">008 0502 9990100000 000 </t>
  </si>
  <si>
    <t xml:space="preserve">008 0502 9990110630 000 </t>
  </si>
  <si>
    <t xml:space="preserve">008 0502 9990110630 240 </t>
  </si>
  <si>
    <t xml:space="preserve">008 0502 9990110630 244 </t>
  </si>
  <si>
    <t>Благоустройство</t>
  </si>
  <si>
    <t xml:space="preserve">008 0503 1200000000 000 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</si>
  <si>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</si>
  <si>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008 0503 1200100000 000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</si>
  <si>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</si>
  <si>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008 0503 1200113270 000 </t>
  </si>
  <si>
    <t xml:space="preserve">008 0503 1200113270 240 </t>
  </si>
  <si>
    <t xml:space="preserve">008 0503 1200113270 244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</si>
  <si>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</si>
  <si>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008 0503 1200113280 000 </t>
  </si>
  <si>
    <t xml:space="preserve">008 0503 1200113280 240 </t>
  </si>
  <si>
    <t xml:space="preserve">008 0503 1200113280 244 </t>
  </si>
  <si>
    <t xml:space="preserve">008 0503 9900000000 000 </t>
  </si>
  <si>
    <t xml:space="preserve">008 0503 9990100000 000 </t>
  </si>
  <si>
    <t>Мероприятия по развитию общественной инфраструктуры муниципального значения</t>
  </si>
  <si>
    <t xml:space="preserve">008 0503 9990172020 000 </t>
  </si>
  <si>
    <t xml:space="preserve">008 0503 9990172020 240 </t>
  </si>
  <si>
    <t xml:space="preserve">008 0503 9990172020 244 </t>
  </si>
  <si>
    <t>ОБРАЗОВАНИЕ</t>
  </si>
  <si>
    <t>Молодежная политика</t>
  </si>
  <si>
    <t xml:space="preserve">008 0707 0700000000 000 </t>
  </si>
  <si>
    <t>Основное мероприятие "Обеспечение отдыха, оздоровления, занятости детей, подростков и молодежи"</t>
  </si>
  <si>
    <t xml:space="preserve">008 0707 0710100000 000 </t>
  </si>
  <si>
    <t>Организация оздоровления, отдыха изанятости детей, подростков и молодежи</t>
  </si>
  <si>
    <t xml:space="preserve">008 0707 0710112290 000 </t>
  </si>
  <si>
    <t xml:space="preserve">008 0707 0710112290 240 </t>
  </si>
  <si>
    <t xml:space="preserve">008 0707 0710112290 244 </t>
  </si>
  <si>
    <t>КУЛЬТУРА, КИНЕМАТОГРАФИЯ</t>
  </si>
  <si>
    <t>Культура</t>
  </si>
  <si>
    <t xml:space="preserve">008 0801 0700000000 000 </t>
  </si>
  <si>
    <t>Основное мероприятия "Развитие культуры на территории поселения"</t>
  </si>
  <si>
    <t xml:space="preserve">008 0801 0720100000 000 </t>
  </si>
  <si>
    <t>Расходы на обеспечение деятельности муниципальных казенных учреждений</t>
  </si>
  <si>
    <t xml:space="preserve">008 0801 0720100160 000 </t>
  </si>
  <si>
    <t>Расходы на выплаты персоналу казенных учреждений</t>
  </si>
  <si>
    <t xml:space="preserve">008 0801 0720100160 110 </t>
  </si>
  <si>
    <t>Фонд оплаты труда учреждений</t>
  </si>
  <si>
    <t xml:space="preserve">008 0801 0720100160 111 </t>
  </si>
  <si>
    <t>Иные выплаты персоналу учреждений, за исключением фонда оплаты труда</t>
  </si>
  <si>
    <t xml:space="preserve">008 0801 0720100160 112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</si>
  <si>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</si>
  <si>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008 0801 0720100160 119 </t>
  </si>
  <si>
    <t xml:space="preserve">008 0801 0720100160 240 </t>
  </si>
  <si>
    <t xml:space="preserve">008 0801 0720100160 242 </t>
  </si>
  <si>
    <t xml:space="preserve">008 0801 0720100160 244 </t>
  </si>
  <si>
    <t xml:space="preserve">008 0801 0720100160 850 </t>
  </si>
  <si>
    <t xml:space="preserve">008 0801 0720100160 852 </t>
  </si>
  <si>
    <t xml:space="preserve">008 0801 9900000000 000 </t>
  </si>
  <si>
    <t xml:space="preserve">008 0801 9990100000 000 </t>
  </si>
  <si>
    <t>Обеспечение деятельности муниципальных казенных учреждений</t>
  </si>
  <si>
    <t xml:space="preserve">008 0801 9990100160 000 </t>
  </si>
  <si>
    <t xml:space="preserve">008 0801 9990100160 240 </t>
  </si>
  <si>
    <t xml:space="preserve">008 0801 9990100160 244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</si>
  <si>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</si>
  <si>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008 0801 9990170360 000 </t>
  </si>
  <si>
    <t xml:space="preserve">008 0801 9990170360 110 </t>
  </si>
  <si>
    <t xml:space="preserve">008 0801 9990170360 111 </t>
  </si>
  <si>
    <t xml:space="preserve">008 0801 9990170360 119 </t>
  </si>
  <si>
    <t>Другие вопросы в области культуры, кинематографии</t>
  </si>
  <si>
    <t xml:space="preserve">008 0804 0700000000 000 </t>
  </si>
  <si>
    <t>Основное мероприятие "Мероприятия организационного характера"</t>
  </si>
  <si>
    <t xml:space="preserve">008 0804 0730100000 000 </t>
  </si>
  <si>
    <t>Организация и проведение мероприятий в сфере культуры</t>
  </si>
  <si>
    <t xml:space="preserve">008 0804 0730111220 000 </t>
  </si>
  <si>
    <t xml:space="preserve">008 0804 0730111220 240 </t>
  </si>
  <si>
    <t xml:space="preserve">008 0804 0730111220 244 </t>
  </si>
  <si>
    <t>СОЦИАЛЬНАЯ ПОЛИТИКА</t>
  </si>
  <si>
    <t>Пенсионное обеспечение</t>
  </si>
  <si>
    <t xml:space="preserve">008 1001 9900000000 000 </t>
  </si>
  <si>
    <t xml:space="preserve">008 1001 9990100000 000 </t>
  </si>
  <si>
    <t>Доплаты к пенсиям муниципальных служащих</t>
  </si>
  <si>
    <t xml:space="preserve">008 1001 9990103080 000 </t>
  </si>
  <si>
    <t>Социальные выплаты гражданам, кроме публичных нормативных социальных выплат</t>
  </si>
  <si>
    <t xml:space="preserve">008 1001 9990103080 320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</si>
  <si>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</si>
  <si>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008 1001 9990103080 321 </t>
  </si>
  <si>
    <t>ФИЗИЧЕСКАЯ КУЛЬТУРА И СПОРТ</t>
  </si>
  <si>
    <t>Другие вопросы в области физической культуры и спорта</t>
  </si>
  <si>
    <t xml:space="preserve">008 1105 0400000000 000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</si>
  <si>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</si>
  <si>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008 1105 0430100000 000 </t>
  </si>
  <si>
    <t>Мероприятия по организации и проведение физкультурных спортивно-массовых мероприятий</t>
  </si>
  <si>
    <t xml:space="preserve">008 1105 0430113300 000 </t>
  </si>
  <si>
    <t xml:space="preserve">008 1105 0430113300 240 </t>
  </si>
  <si>
    <t xml:space="preserve">008 1105 0430113300 244 </t>
  </si>
  <si>
    <t xml:space="preserve">008 1105 9900000000 000 </t>
  </si>
  <si>
    <t xml:space="preserve">008 1105 9990100000 000 </t>
  </si>
  <si>
    <t>Мероприятия по организации и проведению физкультурных спортивно-массовых мероприятий</t>
  </si>
  <si>
    <t xml:space="preserve">008 1105 9990113300 000 </t>
  </si>
  <si>
    <t xml:space="preserve">008 1105 9990113300 240 </t>
  </si>
  <si>
    <t xml:space="preserve">008 1105 9990113300 244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</si>
  <si>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</si>
  <si>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</si>
  <si>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</si>
  <si>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</si>
  <si>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</si>
  <si>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</si>
  <si>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</si>
  <si>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</si>
  <si>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</si>
  <si>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</si>
  <si>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</si>
  <si>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</si>
  <si>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</si>
  <si>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</si>
  <si>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</si>
  <si>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</si>
  <si>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</si>
  <si>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</si>
  <si>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</si>
  <si>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</si>
  <si>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</si>
  <si>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</si>
  <si>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</si>
  <si>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</si>
  <si>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</si>
  <si>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</si>
  <si>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</si>
  <si>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</si>
  <si>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</si>
  <si>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</si>
  <si>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</si>
  <si>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</si>
  <si>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</si>
  <si>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</si>
  <si>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</si>
  <si>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</si>
  <si>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</si>
  <si>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</si>
  <si>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</si>
  <si>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</si>
  <si>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</si>
  <si>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</si>
  <si>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</si>
  <si>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</si>
  <si>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</si>
  <si>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017071</t>
  </si>
  <si>
    <t>Доходы/PERIOD</t>
  </si>
  <si>
    <t>Показатели исполнения бюджета по доходам</t>
  </si>
  <si>
    <t xml:space="preserve">муниципального образования Тельмановское сельское поселение </t>
  </si>
  <si>
    <t xml:space="preserve">Тосненского района Ленинградской области </t>
  </si>
  <si>
    <t>за 2017 год</t>
  </si>
  <si>
    <t>по кодам бюджетной классификации</t>
  </si>
  <si>
    <t>Исполнение расходов бюджета муниципального образования</t>
  </si>
  <si>
    <t>Тельмановское сельское поселение Тоснсенкого района Ленинградской области</t>
  </si>
  <si>
    <t>по разделам и подразделам классификации расходов бюджетов</t>
  </si>
  <si>
    <t>Всего</t>
  </si>
  <si>
    <t>Рз                    раздел</t>
  </si>
  <si>
    <t>Пр         подраздел</t>
  </si>
  <si>
    <t>(тыс.руб.)</t>
  </si>
  <si>
    <t>01</t>
  </si>
  <si>
    <t>00</t>
  </si>
  <si>
    <t>02</t>
  </si>
  <si>
    <t>03</t>
  </si>
  <si>
    <t>04</t>
  </si>
  <si>
    <t>06</t>
  </si>
  <si>
    <t>07</t>
  </si>
  <si>
    <t>13</t>
  </si>
  <si>
    <t>09</t>
  </si>
  <si>
    <t>14</t>
  </si>
  <si>
    <t>12</t>
  </si>
  <si>
    <t>05</t>
  </si>
  <si>
    <t>08</t>
  </si>
  <si>
    <t>10</t>
  </si>
  <si>
    <t>11</t>
  </si>
  <si>
    <t>Наименование</t>
  </si>
  <si>
    <t xml:space="preserve">Код </t>
  </si>
  <si>
    <t>главного</t>
  </si>
  <si>
    <t>распорядителя</t>
  </si>
  <si>
    <t>Раздел</t>
  </si>
  <si>
    <t>Подраздел</t>
  </si>
  <si>
    <t>Целевая</t>
  </si>
  <si>
    <t>статья</t>
  </si>
  <si>
    <t xml:space="preserve">Вид            </t>
  </si>
  <si>
    <t>расхода</t>
  </si>
  <si>
    <t>7</t>
  </si>
  <si>
    <t>Итого</t>
  </si>
  <si>
    <t>9100000000</t>
  </si>
  <si>
    <t>9110100000</t>
  </si>
  <si>
    <t xml:space="preserve"> 9110100030</t>
  </si>
  <si>
    <t>120</t>
  </si>
  <si>
    <t>9130100000</t>
  </si>
  <si>
    <t>9130100040</t>
  </si>
  <si>
    <t xml:space="preserve">240 </t>
  </si>
  <si>
    <t xml:space="preserve">850 </t>
  </si>
  <si>
    <t xml:space="preserve"> 9100000000</t>
  </si>
  <si>
    <t>240</t>
  </si>
  <si>
    <t>9130160600</t>
  </si>
  <si>
    <t xml:space="preserve"> 540 </t>
  </si>
  <si>
    <t>9130160620</t>
  </si>
  <si>
    <t>9130160650</t>
  </si>
  <si>
    <t xml:space="preserve">540 </t>
  </si>
  <si>
    <t>9180100000</t>
  </si>
  <si>
    <t>9180100080</t>
  </si>
  <si>
    <t xml:space="preserve">120 </t>
  </si>
  <si>
    <t>9130160640</t>
  </si>
  <si>
    <t xml:space="preserve">9900000000 </t>
  </si>
  <si>
    <t xml:space="preserve"> 9990100000</t>
  </si>
  <si>
    <t>9990112240</t>
  </si>
  <si>
    <t xml:space="preserve"> 240 </t>
  </si>
  <si>
    <t>9200000000</t>
  </si>
  <si>
    <t>9290100000</t>
  </si>
  <si>
    <t>9290100030</t>
  </si>
  <si>
    <t xml:space="preserve">830 </t>
  </si>
  <si>
    <t>9900000000</t>
  </si>
  <si>
    <t>9990100000</t>
  </si>
  <si>
    <t xml:space="preserve">9990151180 </t>
  </si>
  <si>
    <t>9990151180</t>
  </si>
  <si>
    <t>0800000000</t>
  </si>
  <si>
    <t>0810100000</t>
  </si>
  <si>
    <t>0810111570</t>
  </si>
  <si>
    <t>0810200000</t>
  </si>
  <si>
    <t>0810211620</t>
  </si>
  <si>
    <t>0820100000</t>
  </si>
  <si>
    <t>0820111520</t>
  </si>
  <si>
    <t>9130171340</t>
  </si>
  <si>
    <t>1000000000</t>
  </si>
  <si>
    <t>1010100000</t>
  </si>
  <si>
    <t>1010110100</t>
  </si>
  <si>
    <t>1010110110</t>
  </si>
  <si>
    <t xml:space="preserve"> 1010110110</t>
  </si>
  <si>
    <t>1020100000</t>
  </si>
  <si>
    <t>1020110100</t>
  </si>
  <si>
    <t>1020113530</t>
  </si>
  <si>
    <t xml:space="preserve"> 120 </t>
  </si>
  <si>
    <t xml:space="preserve"> 0500000000</t>
  </si>
  <si>
    <t>0500200000</t>
  </si>
  <si>
    <t>0500210550</t>
  </si>
  <si>
    <t xml:space="preserve"> 9990110350</t>
  </si>
  <si>
    <t>9990110360</t>
  </si>
  <si>
    <t>9990110400</t>
  </si>
  <si>
    <t>9990113760</t>
  </si>
  <si>
    <t>9990196010</t>
  </si>
  <si>
    <t>1300100000</t>
  </si>
  <si>
    <t>1300000000</t>
  </si>
  <si>
    <t>1300110630</t>
  </si>
  <si>
    <t>1300114260</t>
  </si>
  <si>
    <t>9990110630</t>
  </si>
  <si>
    <t>1200000000</t>
  </si>
  <si>
    <t>1200113270</t>
  </si>
  <si>
    <t xml:space="preserve"> 1200113280 </t>
  </si>
  <si>
    <t>9990172020</t>
  </si>
  <si>
    <t>0700000000</t>
  </si>
  <si>
    <t>0710100000</t>
  </si>
  <si>
    <t>0710112290</t>
  </si>
  <si>
    <t xml:space="preserve"> 0700000000</t>
  </si>
  <si>
    <t>0720100000</t>
  </si>
  <si>
    <t>0720100160</t>
  </si>
  <si>
    <t xml:space="preserve">110 </t>
  </si>
  <si>
    <t>9990100160</t>
  </si>
  <si>
    <t>9990170360</t>
  </si>
  <si>
    <t>0730100000</t>
  </si>
  <si>
    <t>0730111220</t>
  </si>
  <si>
    <t>1200100000</t>
  </si>
  <si>
    <t>9990103080</t>
  </si>
  <si>
    <t xml:space="preserve">320 </t>
  </si>
  <si>
    <t>0400000000</t>
  </si>
  <si>
    <t>0430100000</t>
  </si>
  <si>
    <t>0430113300</t>
  </si>
  <si>
    <t>9990113300</t>
  </si>
  <si>
    <t xml:space="preserve">по ведомственной структуре расходов бюджета  </t>
  </si>
  <si>
    <t>по кодам классификации источников финансирования дефицита бюджета</t>
  </si>
  <si>
    <t xml:space="preserve">Исполнение внутреннего финансирование дефицита бюджета </t>
  </si>
  <si>
    <t>Приложение  № 2</t>
  </si>
  <si>
    <t xml:space="preserve">к   решению совета депутатов </t>
  </si>
  <si>
    <t>МО Тельмановское сельское поселение</t>
  </si>
  <si>
    <t>Тосненского района  Ленинградской области</t>
  </si>
  <si>
    <t>Приложение  № 4</t>
  </si>
  <si>
    <t xml:space="preserve">    от "___ " августа 2018 года № ____</t>
  </si>
  <si>
    <t>Приложение  № 3</t>
  </si>
  <si>
    <t>Приложение  № 1</t>
  </si>
  <si>
    <t xml:space="preserve"> Тосненского района Ленинградской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</si>
</sst>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0000"/>
  </numFmts>
  <fonts count="17" x14ac:knownFonts="1">
    <font>
      <sz val="10"/>
      <name val="Arial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4" fillId="0" borderId="0"/>
  </cellStyleXfs>
  <cellXfs count="296">
    <xf numFmtId="0" fontId="0" fillId="0" borderId="0" xfId="0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1" fillId="0" borderId="0" xfId="0" applyNumberFormat="1" applyFont="1" applyBorder="1" applyAlignment="1" applyProtection="1"/>
    <xf numFmtId="49" fontId="1" fillId="0" borderId="13" xfId="0" applyNumberFormat="1" applyFont="1" applyBorder="1" applyAlignment="1" applyProtection="1">
      <alignment horizontal="left" wrapText="1"/>
    </xf>
    <xf numFmtId="49" fontId="1" fillId="0" borderId="14" xfId="0" applyNumberFormat="1" applyFont="1" applyBorder="1" applyAlignment="1" applyProtection="1">
      <alignment horizontal="center"/>
    </xf>
    <xf numFmtId="49" fontId="3" fillId="0" borderId="17" xfId="0" applyNumberFormat="1" applyFont="1" applyBorder="1" applyAlignment="1" applyProtection="1">
      <alignment horizontal="left" wrapText="1"/>
    </xf>
    <xf numFmtId="49" fontId="3" fillId="0" borderId="23" xfId="0" applyNumberFormat="1" applyFont="1" applyBorder="1" applyAlignment="1" applyProtection="1">
      <alignment horizontal="center" wrapText="1"/>
    </xf>
    <xf numFmtId="49" fontId="3" fillId="0" borderId="18" xfId="0" applyNumberFormat="1" applyFont="1" applyBorder="1" applyAlignment="1" applyProtection="1">
      <alignment horizontal="center"/>
    </xf>
    <xf numFmtId="4" fontId="3" fillId="0" borderId="18" xfId="0" applyNumberFormat="1" applyFont="1" applyBorder="1" applyAlignment="1" applyProtection="1">
      <alignment horizontal="right"/>
    </xf>
    <xf numFmtId="49" fontId="1" fillId="0" borderId="15" xfId="0" applyNumberFormat="1" applyFont="1" applyBorder="1" applyAlignment="1" applyProtection="1">
      <alignment horizontal="center" wrapText="1"/>
    </xf>
    <xf numFmtId="4" fontId="1" fillId="0" borderId="14" xfId="0" applyNumberFormat="1" applyFont="1" applyBorder="1" applyAlignment="1" applyProtection="1">
      <alignment horizontal="right"/>
    </xf>
    <xf numFmtId="0" fontId="2" fillId="0" borderId="5" xfId="0" applyFont="1" applyBorder="1" applyAlignment="1" applyProtection="1"/>
    <xf numFmtId="0" fontId="2" fillId="0" borderId="25" xfId="0" applyFont="1" applyBorder="1" applyAlignment="1" applyProtection="1"/>
    <xf numFmtId="0" fontId="2" fillId="0" borderId="25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right"/>
    </xf>
    <xf numFmtId="49" fontId="1" fillId="0" borderId="24" xfId="0" applyNumberFormat="1" applyFont="1" applyBorder="1" applyAlignment="1" applyProtection="1">
      <alignment horizontal="left" wrapText="1"/>
    </xf>
    <xf numFmtId="49" fontId="1" fillId="0" borderId="26" xfId="0" applyNumberFormat="1" applyFont="1" applyBorder="1" applyAlignment="1" applyProtection="1">
      <alignment horizontal="center" wrapText="1"/>
    </xf>
    <xf numFmtId="49" fontId="1" fillId="0" borderId="27" xfId="0" applyNumberFormat="1" applyFont="1" applyBorder="1" applyAlignment="1" applyProtection="1">
      <alignment horizontal="center"/>
    </xf>
    <xf numFmtId="4" fontId="1" fillId="0" borderId="32" xfId="0" applyNumberFormat="1" applyFont="1" applyBorder="1" applyAlignment="1" applyProtection="1">
      <alignment horizontal="right"/>
    </xf>
    <xf numFmtId="4" fontId="1" fillId="0" borderId="3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/>
    <xf numFmtId="49" fontId="3" fillId="0" borderId="4" xfId="0" applyNumberFormat="1" applyFont="1" applyBorder="1" applyAlignment="1" applyProtection="1">
      <alignment horizontal="center" wrapText="1"/>
    </xf>
    <xf numFmtId="49" fontId="1" fillId="0" borderId="5" xfId="0" applyNumberFormat="1" applyFont="1" applyBorder="1" applyAlignment="1" applyProtection="1">
      <alignment horizontal="center" wrapText="1"/>
    </xf>
    <xf numFmtId="49" fontId="1" fillId="0" borderId="25" xfId="0" applyNumberFormat="1" applyFont="1" applyBorder="1" applyAlignment="1" applyProtection="1">
      <alignment horizontal="center" wrapText="1"/>
    </xf>
    <xf numFmtId="4" fontId="1" fillId="0" borderId="27" xfId="0" applyNumberFormat="1" applyFont="1" applyBorder="1" applyAlignment="1" applyProtection="1">
      <alignment horizontal="right"/>
    </xf>
    <xf numFmtId="49" fontId="1" fillId="0" borderId="44" xfId="0" applyNumberFormat="1" applyFont="1" applyBorder="1" applyAlignment="1" applyProtection="1">
      <alignment vertical="center"/>
    </xf>
    <xf numFmtId="49" fontId="1" fillId="0" borderId="52" xfId="0" applyNumberFormat="1" applyFont="1" applyBorder="1" applyAlignment="1" applyProtection="1">
      <alignment vertical="center"/>
    </xf>
    <xf numFmtId="49" fontId="1" fillId="0" borderId="53" xfId="0" applyNumberFormat="1" applyFont="1" applyBorder="1" applyAlignment="1" applyProtection="1">
      <alignment horizontal="center" vertical="center"/>
    </xf>
    <xf numFmtId="4" fontId="3" fillId="0" borderId="52" xfId="0" applyNumberFormat="1" applyFont="1" applyBorder="1" applyAlignment="1" applyProtection="1">
      <alignment horizontal="right"/>
    </xf>
    <xf numFmtId="0" fontId="2" fillId="0" borderId="54" xfId="0" applyFont="1" applyBorder="1" applyAlignment="1" applyProtection="1"/>
    <xf numFmtId="4" fontId="1" fillId="0" borderId="55" xfId="0" applyNumberFormat="1" applyFont="1" applyBorder="1" applyAlignment="1" applyProtection="1">
      <alignment horizontal="right"/>
    </xf>
    <xf numFmtId="4" fontId="1" fillId="0" borderId="5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6" fillId="0" borderId="0" xfId="1" applyFont="1" applyFill="1" applyAlignment="1">
      <alignment horizontal="center" vertical="center"/>
    </xf>
    <xf numFmtId="0" fontId="8" fillId="0" borderId="0" xfId="2" applyFont="1" applyFill="1" applyAlignment="1">
      <alignment horizontal="right"/>
    </xf>
    <xf numFmtId="0" fontId="8" fillId="0" borderId="0" xfId="2" applyFont="1" applyFill="1" applyAlignment="1"/>
    <xf numFmtId="0" fontId="9" fillId="0" borderId="0" xfId="3" applyFont="1" applyFill="1" applyAlignment="1">
      <alignment vertical="center"/>
    </xf>
    <xf numFmtId="0" fontId="10" fillId="0" borderId="0" xfId="3" applyFont="1" applyFill="1" applyAlignment="1">
      <alignment horizontal="right" vertical="center"/>
    </xf>
    <xf numFmtId="0" fontId="13" fillId="0" borderId="0" xfId="0" applyFont="1" applyBorder="1" applyAlignment="1" applyProtection="1">
      <alignment horizontal="left"/>
    </xf>
    <xf numFmtId="49" fontId="13" fillId="0" borderId="0" xfId="0" applyNumberFormat="1" applyFont="1" applyBorder="1" applyAlignment="1" applyProtection="1">
      <alignment horizontal="center"/>
    </xf>
    <xf numFmtId="0" fontId="13" fillId="0" borderId="0" xfId="0" applyFont="1" applyBorder="1" applyAlignment="1" applyProtection="1"/>
    <xf numFmtId="49" fontId="13" fillId="0" borderId="0" xfId="0" applyNumberFormat="1" applyFont="1" applyBorder="1" applyAlignment="1" applyProtection="1"/>
    <xf numFmtId="0" fontId="10" fillId="0" borderId="0" xfId="3" applyFont="1" applyFill="1" applyAlignment="1">
      <alignment vertical="center"/>
    </xf>
    <xf numFmtId="0" fontId="13" fillId="0" borderId="0" xfId="0" applyFont="1"/>
    <xf numFmtId="0" fontId="14" fillId="0" borderId="0" xfId="0" applyFont="1" applyBorder="1" applyAlignment="1" applyProtection="1"/>
    <xf numFmtId="0" fontId="14" fillId="0" borderId="0" xfId="0" applyFont="1" applyBorder="1" applyAlignment="1" applyProtection="1">
      <alignment horizontal="center"/>
    </xf>
    <xf numFmtId="0" fontId="10" fillId="0" borderId="21" xfId="0" applyFont="1" applyBorder="1" applyAlignment="1" applyProtection="1">
      <alignment horizontal="center" vertical="center" wrapText="1"/>
    </xf>
    <xf numFmtId="0" fontId="10" fillId="0" borderId="22" xfId="0" applyFont="1" applyBorder="1" applyAlignment="1" applyProtection="1">
      <alignment horizontal="center" vertical="center" wrapText="1"/>
    </xf>
    <xf numFmtId="0" fontId="10" fillId="0" borderId="22" xfId="0" applyFont="1" applyBorder="1" applyAlignment="1" applyProtection="1">
      <alignment vertical="center" wrapText="1"/>
    </xf>
    <xf numFmtId="49" fontId="10" fillId="0" borderId="41" xfId="0" applyNumberFormat="1" applyFont="1" applyBorder="1" applyAlignment="1" applyProtection="1">
      <alignment horizontal="center" vertical="center" wrapText="1"/>
    </xf>
    <xf numFmtId="0" fontId="10" fillId="0" borderId="33" xfId="0" applyFont="1" applyBorder="1" applyAlignment="1" applyProtection="1">
      <alignment horizontal="center" vertical="center" wrapText="1"/>
    </xf>
    <xf numFmtId="0" fontId="10" fillId="0" borderId="33" xfId="0" applyFont="1" applyBorder="1" applyAlignment="1" applyProtection="1">
      <alignment vertical="center" wrapText="1"/>
    </xf>
    <xf numFmtId="49" fontId="10" fillId="0" borderId="42" xfId="0" applyNumberFormat="1" applyFont="1" applyBorder="1" applyAlignment="1" applyProtection="1">
      <alignment horizontal="center" vertical="center" wrapText="1"/>
    </xf>
    <xf numFmtId="49" fontId="11" fillId="0" borderId="32" xfId="0" applyNumberFormat="1" applyFont="1" applyBorder="1" applyAlignment="1" applyProtection="1">
      <alignment horizontal="left" wrapText="1"/>
    </xf>
    <xf numFmtId="49" fontId="11" fillId="0" borderId="57" xfId="0" applyNumberFormat="1" applyFont="1" applyBorder="1" applyAlignment="1" applyProtection="1">
      <alignment horizontal="center" wrapText="1"/>
    </xf>
    <xf numFmtId="49" fontId="11" fillId="0" borderId="25" xfId="0" applyNumberFormat="1" applyFont="1" applyBorder="1" applyAlignment="1" applyProtection="1">
      <alignment horizontal="center" wrapText="1"/>
    </xf>
    <xf numFmtId="49" fontId="11" fillId="0" borderId="27" xfId="0" applyNumberFormat="1" applyFont="1" applyBorder="1" applyAlignment="1" applyProtection="1">
      <alignment horizontal="center"/>
    </xf>
    <xf numFmtId="4" fontId="11" fillId="0" borderId="27" xfId="0" applyNumberFormat="1" applyFont="1" applyBorder="1" applyAlignment="1" applyProtection="1">
      <alignment horizontal="right"/>
    </xf>
    <xf numFmtId="49" fontId="10" fillId="0" borderId="51" xfId="0" applyNumberFormat="1" applyFont="1" applyBorder="1" applyAlignment="1" applyProtection="1">
      <alignment horizontal="left" wrapText="1"/>
    </xf>
    <xf numFmtId="49" fontId="10" fillId="0" borderId="23" xfId="0" applyNumberFormat="1" applyFont="1" applyBorder="1" applyAlignment="1" applyProtection="1">
      <alignment horizontal="center" wrapText="1"/>
    </xf>
    <xf numFmtId="49" fontId="10" fillId="0" borderId="4" xfId="0" applyNumberFormat="1" applyFont="1" applyBorder="1" applyAlignment="1" applyProtection="1">
      <alignment horizontal="center" wrapText="1"/>
    </xf>
    <xf numFmtId="49" fontId="10" fillId="0" borderId="18" xfId="0" applyNumberFormat="1" applyFont="1" applyBorder="1" applyAlignment="1" applyProtection="1">
      <alignment horizontal="center"/>
    </xf>
    <xf numFmtId="4" fontId="10" fillId="0" borderId="18" xfId="0" applyNumberFormat="1" applyFont="1" applyBorder="1" applyAlignment="1" applyProtection="1">
      <alignment horizontal="right"/>
    </xf>
    <xf numFmtId="49" fontId="10" fillId="0" borderId="59" xfId="0" applyNumberFormat="1" applyFont="1" applyBorder="1" applyAlignment="1" applyProtection="1">
      <alignment horizontal="left" wrapText="1"/>
    </xf>
    <xf numFmtId="49" fontId="10" fillId="0" borderId="15" xfId="0" applyNumberFormat="1" applyFont="1" applyBorder="1" applyAlignment="1" applyProtection="1">
      <alignment horizontal="center" wrapText="1"/>
    </xf>
    <xf numFmtId="49" fontId="10" fillId="0" borderId="5" xfId="0" applyNumberFormat="1" applyFont="1" applyBorder="1" applyAlignment="1" applyProtection="1">
      <alignment horizontal="center" wrapText="1"/>
    </xf>
    <xf numFmtId="49" fontId="10" fillId="0" borderId="14" xfId="0" applyNumberFormat="1" applyFont="1" applyBorder="1" applyAlignment="1" applyProtection="1">
      <alignment horizontal="center"/>
    </xf>
    <xf numFmtId="4" fontId="10" fillId="0" borderId="14" xfId="0" applyNumberFormat="1" applyFont="1" applyBorder="1" applyAlignment="1" applyProtection="1">
      <alignment horizontal="right"/>
    </xf>
    <xf numFmtId="49" fontId="10" fillId="0" borderId="60" xfId="0" applyNumberFormat="1" applyFont="1" applyBorder="1" applyAlignment="1" applyProtection="1">
      <alignment horizontal="left" wrapText="1"/>
    </xf>
    <xf numFmtId="49" fontId="10" fillId="0" borderId="3" xfId="0" applyNumberFormat="1" applyFont="1" applyBorder="1" applyAlignment="1" applyProtection="1">
      <alignment horizontal="left" wrapText="1"/>
    </xf>
    <xf numFmtId="49" fontId="10" fillId="0" borderId="58" xfId="0" applyNumberFormat="1" applyFont="1" applyBorder="1" applyAlignment="1" applyProtection="1">
      <alignment horizontal="center" wrapText="1"/>
    </xf>
    <xf numFmtId="49" fontId="10" fillId="0" borderId="19" xfId="0" applyNumberFormat="1" applyFont="1" applyBorder="1" applyAlignment="1" applyProtection="1">
      <alignment horizontal="center" wrapText="1"/>
    </xf>
    <xf numFmtId="49" fontId="10" fillId="0" borderId="16" xfId="0" applyNumberFormat="1" applyFont="1" applyBorder="1" applyAlignment="1" applyProtection="1">
      <alignment horizontal="center"/>
    </xf>
    <xf numFmtId="4" fontId="10" fillId="0" borderId="16" xfId="0" applyNumberFormat="1" applyFont="1" applyBorder="1" applyAlignment="1" applyProtection="1">
      <alignment horizontal="right"/>
    </xf>
    <xf numFmtId="49" fontId="10" fillId="0" borderId="61" xfId="0" applyNumberFormat="1" applyFont="1" applyBorder="1" applyAlignment="1" applyProtection="1">
      <alignment horizontal="left" wrapText="1"/>
    </xf>
    <xf numFmtId="49" fontId="10" fillId="0" borderId="62" xfId="0" applyNumberFormat="1" applyFont="1" applyBorder="1" applyAlignment="1" applyProtection="1">
      <alignment horizontal="center" wrapText="1"/>
    </xf>
    <xf numFmtId="49" fontId="10" fillId="0" borderId="63" xfId="0" applyNumberFormat="1" applyFont="1" applyBorder="1" applyAlignment="1" applyProtection="1">
      <alignment horizontal="center" wrapText="1"/>
    </xf>
    <xf numFmtId="49" fontId="10" fillId="0" borderId="64" xfId="0" applyNumberFormat="1" applyFont="1" applyBorder="1" applyAlignment="1" applyProtection="1">
      <alignment horizontal="center"/>
    </xf>
    <xf numFmtId="4" fontId="10" fillId="0" borderId="64" xfId="0" applyNumberFormat="1" applyFont="1" applyBorder="1" applyAlignment="1" applyProtection="1">
      <alignment horizontal="right"/>
    </xf>
    <xf numFmtId="49" fontId="11" fillId="0" borderId="51" xfId="0" applyNumberFormat="1" applyFont="1" applyBorder="1" applyAlignment="1" applyProtection="1">
      <alignment horizontal="left" wrapText="1"/>
    </xf>
    <xf numFmtId="49" fontId="11" fillId="0" borderId="23" xfId="0" applyNumberFormat="1" applyFont="1" applyBorder="1" applyAlignment="1" applyProtection="1">
      <alignment horizontal="center" wrapText="1"/>
    </xf>
    <xf numFmtId="49" fontId="11" fillId="0" borderId="4" xfId="0" applyNumberFormat="1" applyFont="1" applyBorder="1" applyAlignment="1" applyProtection="1">
      <alignment horizontal="center" wrapText="1"/>
    </xf>
    <xf numFmtId="49" fontId="11" fillId="0" borderId="18" xfId="0" applyNumberFormat="1" applyFont="1" applyBorder="1" applyAlignment="1" applyProtection="1">
      <alignment horizontal="center"/>
    </xf>
    <xf numFmtId="4" fontId="11" fillId="0" borderId="18" xfId="0" applyNumberFormat="1" applyFont="1" applyBorder="1" applyAlignment="1" applyProtection="1">
      <alignment horizontal="right"/>
    </xf>
    <xf numFmtId="49" fontId="10" fillId="0" borderId="2" xfId="0" applyNumberFormat="1" applyFont="1" applyBorder="1" applyAlignment="1" applyProtection="1">
      <alignment horizontal="left" wrapText="1"/>
    </xf>
    <xf numFmtId="49" fontId="10" fillId="0" borderId="42" xfId="0" applyNumberFormat="1" applyFont="1" applyBorder="1" applyAlignment="1" applyProtection="1">
      <alignment horizontal="left" wrapText="1"/>
    </xf>
    <xf numFmtId="49" fontId="10" fillId="0" borderId="38" xfId="0" applyNumberFormat="1" applyFont="1" applyBorder="1" applyAlignment="1" applyProtection="1">
      <alignment horizontal="center" wrapText="1"/>
    </xf>
    <xf numFmtId="49" fontId="10" fillId="0" borderId="29" xfId="0" applyNumberFormat="1" applyFont="1" applyBorder="1" applyAlignment="1" applyProtection="1">
      <alignment horizontal="center" wrapText="1"/>
    </xf>
    <xf numFmtId="49" fontId="10" fillId="0" borderId="33" xfId="0" applyNumberFormat="1" applyFont="1" applyBorder="1" applyAlignment="1" applyProtection="1">
      <alignment horizontal="center"/>
    </xf>
    <xf numFmtId="4" fontId="10" fillId="0" borderId="33" xfId="0" applyNumberFormat="1" applyFont="1" applyBorder="1" applyAlignment="1" applyProtection="1">
      <alignment horizontal="right"/>
    </xf>
    <xf numFmtId="49" fontId="10" fillId="0" borderId="0" xfId="0" applyNumberFormat="1" applyFont="1" applyBorder="1" applyAlignment="1" applyProtection="1">
      <alignment horizontal="right"/>
    </xf>
    <xf numFmtId="0" fontId="11" fillId="0" borderId="21" xfId="0" applyFont="1" applyBorder="1" applyAlignment="1" applyProtection="1">
      <alignment horizontal="center" vertical="center" wrapText="1"/>
    </xf>
    <xf numFmtId="0" fontId="11" fillId="0" borderId="40" xfId="0" applyFont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49" fontId="11" fillId="0" borderId="40" xfId="0" applyNumberFormat="1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 wrapText="1"/>
    </xf>
    <xf numFmtId="0" fontId="11" fillId="0" borderId="41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49" fontId="11" fillId="0" borderId="41" xfId="0" applyNumberFormat="1" applyFont="1" applyBorder="1" applyAlignment="1" applyProtection="1">
      <alignment vertical="center"/>
    </xf>
    <xf numFmtId="0" fontId="11" fillId="0" borderId="41" xfId="0" applyFont="1" applyBorder="1" applyAlignment="1" applyProtection="1">
      <alignment vertical="center" wrapText="1"/>
    </xf>
    <xf numFmtId="49" fontId="11" fillId="0" borderId="41" xfId="0" applyNumberFormat="1" applyFont="1" applyBorder="1" applyAlignment="1" applyProtection="1">
      <alignment horizontal="center" vertical="center" wrapText="1"/>
    </xf>
    <xf numFmtId="0" fontId="11" fillId="0" borderId="33" xfId="0" applyFont="1" applyBorder="1" applyAlignment="1" applyProtection="1">
      <alignment horizontal="center" vertical="center" wrapText="1"/>
    </xf>
    <xf numFmtId="0" fontId="11" fillId="0" borderId="42" xfId="0" applyFont="1" applyBorder="1" applyAlignment="1" applyProtection="1">
      <alignment horizontal="center" vertical="center" wrapText="1"/>
    </xf>
    <xf numFmtId="0" fontId="11" fillId="0" borderId="29" xfId="0" applyFont="1" applyBorder="1" applyAlignment="1" applyProtection="1">
      <alignment horizontal="center" vertical="center" wrapText="1"/>
    </xf>
    <xf numFmtId="0" fontId="11" fillId="0" borderId="42" xfId="0" applyFont="1" applyBorder="1" applyAlignment="1" applyProtection="1">
      <alignment vertical="center" wrapText="1"/>
    </xf>
    <xf numFmtId="49" fontId="11" fillId="0" borderId="42" xfId="0" applyNumberFormat="1" applyFont="1" applyBorder="1" applyAlignment="1" applyProtection="1">
      <alignment horizontal="center" vertical="center" wrapText="1"/>
    </xf>
    <xf numFmtId="0" fontId="10" fillId="0" borderId="26" xfId="0" applyFont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10" fillId="0" borderId="32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49" fontId="10" fillId="0" borderId="25" xfId="0" applyNumberFormat="1" applyFont="1" applyBorder="1" applyAlignment="1" applyProtection="1">
      <alignment horizontal="center" vertical="center"/>
    </xf>
    <xf numFmtId="49" fontId="10" fillId="0" borderId="32" xfId="0" applyNumberFormat="1" applyFont="1" applyBorder="1" applyAlignment="1" applyProtection="1">
      <alignment horizontal="center" vertical="center"/>
    </xf>
    <xf numFmtId="49" fontId="11" fillId="2" borderId="32" xfId="0" applyNumberFormat="1" applyFont="1" applyFill="1" applyBorder="1" applyAlignment="1" applyProtection="1">
      <alignment horizontal="left" wrapText="1"/>
    </xf>
    <xf numFmtId="49" fontId="11" fillId="2" borderId="57" xfId="0" applyNumberFormat="1" applyFont="1" applyFill="1" applyBorder="1" applyAlignment="1" applyProtection="1">
      <alignment horizontal="center" wrapText="1"/>
    </xf>
    <xf numFmtId="49" fontId="11" fillId="2" borderId="25" xfId="0" applyNumberFormat="1" applyFont="1" applyFill="1" applyBorder="1" applyAlignment="1" applyProtection="1">
      <alignment horizontal="center" wrapText="1"/>
    </xf>
    <xf numFmtId="49" fontId="11" fillId="2" borderId="32" xfId="0" applyNumberFormat="1" applyFont="1" applyFill="1" applyBorder="1" applyAlignment="1" applyProtection="1">
      <alignment wrapText="1"/>
    </xf>
    <xf numFmtId="49" fontId="11" fillId="2" borderId="25" xfId="0" applyNumberFormat="1" applyFont="1" applyFill="1" applyBorder="1" applyAlignment="1" applyProtection="1">
      <alignment wrapText="1"/>
    </xf>
    <xf numFmtId="49" fontId="11" fillId="2" borderId="32" xfId="0" applyNumberFormat="1" applyFont="1" applyFill="1" applyBorder="1" applyAlignment="1" applyProtection="1">
      <alignment horizontal="center"/>
    </xf>
    <xf numFmtId="4" fontId="11" fillId="2" borderId="25" xfId="0" applyNumberFormat="1" applyFont="1" applyFill="1" applyBorder="1" applyAlignment="1" applyProtection="1">
      <alignment horizontal="right"/>
    </xf>
    <xf numFmtId="0" fontId="10" fillId="0" borderId="41" xfId="0" applyFont="1" applyBorder="1" applyAlignment="1" applyProtection="1"/>
    <xf numFmtId="0" fontId="10" fillId="0" borderId="9" xfId="0" applyFont="1" applyBorder="1" applyAlignment="1" applyProtection="1"/>
    <xf numFmtId="0" fontId="10" fillId="0" borderId="0" xfId="0" applyFont="1" applyBorder="1" applyAlignment="1" applyProtection="1"/>
    <xf numFmtId="0" fontId="10" fillId="0" borderId="41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right"/>
    </xf>
    <xf numFmtId="49" fontId="11" fillId="0" borderId="2" xfId="0" applyNumberFormat="1" applyFont="1" applyBorder="1" applyAlignment="1" applyProtection="1">
      <alignment horizontal="center" wrapText="1"/>
    </xf>
    <xf numFmtId="49" fontId="11" fillId="0" borderId="2" xfId="0" applyNumberFormat="1" applyFont="1" applyBorder="1" applyAlignment="1" applyProtection="1">
      <alignment horizontal="center"/>
    </xf>
    <xf numFmtId="4" fontId="11" fillId="0" borderId="4" xfId="0" applyNumberFormat="1" applyFont="1" applyBorder="1" applyAlignment="1" applyProtection="1">
      <alignment horizontal="right"/>
    </xf>
    <xf numFmtId="49" fontId="11" fillId="0" borderId="41" xfId="0" applyNumberFormat="1" applyFont="1" applyBorder="1" applyAlignment="1" applyProtection="1">
      <alignment horizontal="left" wrapText="1"/>
    </xf>
    <xf numFmtId="49" fontId="11" fillId="0" borderId="30" xfId="0" applyNumberFormat="1" applyFont="1" applyBorder="1" applyAlignment="1" applyProtection="1">
      <alignment horizontal="center" wrapText="1"/>
    </xf>
    <xf numFmtId="49" fontId="11" fillId="0" borderId="0" xfId="0" applyNumberFormat="1" applyFont="1" applyBorder="1" applyAlignment="1" applyProtection="1">
      <alignment horizontal="center" wrapText="1"/>
    </xf>
    <xf numFmtId="49" fontId="11" fillId="0" borderId="41" xfId="0" applyNumberFormat="1" applyFont="1" applyBorder="1" applyAlignment="1" applyProtection="1">
      <alignment horizontal="center" wrapText="1"/>
    </xf>
    <xf numFmtId="49" fontId="11" fillId="0" borderId="41" xfId="0" applyNumberFormat="1" applyFont="1" applyBorder="1" applyAlignment="1" applyProtection="1">
      <alignment horizontal="center"/>
    </xf>
    <xf numFmtId="4" fontId="11" fillId="0" borderId="0" xfId="0" applyNumberFormat="1" applyFont="1" applyBorder="1" applyAlignment="1" applyProtection="1">
      <alignment horizontal="right"/>
    </xf>
    <xf numFmtId="49" fontId="11" fillId="2" borderId="32" xfId="0" applyNumberFormat="1" applyFont="1" applyFill="1" applyBorder="1" applyAlignment="1" applyProtection="1">
      <alignment horizontal="center" wrapText="1"/>
    </xf>
    <xf numFmtId="49" fontId="11" fillId="0" borderId="32" xfId="0" applyNumberFormat="1" applyFont="1" applyBorder="1" applyAlignment="1" applyProtection="1">
      <alignment horizontal="center" wrapText="1"/>
    </xf>
    <xf numFmtId="49" fontId="11" fillId="0" borderId="32" xfId="0" applyNumberFormat="1" applyFont="1" applyBorder="1" applyAlignment="1" applyProtection="1">
      <alignment horizontal="center"/>
    </xf>
    <xf numFmtId="4" fontId="11" fillId="0" borderId="25" xfId="0" applyNumberFormat="1" applyFont="1" applyBorder="1" applyAlignment="1" applyProtection="1">
      <alignment horizontal="right"/>
    </xf>
    <xf numFmtId="49" fontId="10" fillId="0" borderId="41" xfId="0" applyNumberFormat="1" applyFont="1" applyBorder="1" applyAlignment="1" applyProtection="1">
      <alignment horizontal="left" wrapText="1"/>
    </xf>
    <xf numFmtId="49" fontId="10" fillId="0" borderId="2" xfId="0" applyNumberFormat="1" applyFont="1" applyBorder="1" applyAlignment="1" applyProtection="1">
      <alignment horizontal="center" wrapText="1"/>
    </xf>
    <xf numFmtId="49" fontId="10" fillId="0" borderId="2" xfId="0" applyNumberFormat="1" applyFont="1" applyBorder="1" applyAlignment="1" applyProtection="1">
      <alignment horizontal="center"/>
    </xf>
    <xf numFmtId="4" fontId="10" fillId="0" borderId="4" xfId="0" applyNumberFormat="1" applyFont="1" applyBorder="1" applyAlignment="1" applyProtection="1">
      <alignment horizontal="right"/>
    </xf>
    <xf numFmtId="49" fontId="10" fillId="0" borderId="3" xfId="0" applyNumberFormat="1" applyFont="1" applyBorder="1" applyAlignment="1" applyProtection="1">
      <alignment horizontal="center" wrapText="1"/>
    </xf>
    <xf numFmtId="49" fontId="10" fillId="0" borderId="3" xfId="0" applyNumberFormat="1" applyFont="1" applyBorder="1" applyAlignment="1" applyProtection="1">
      <alignment horizontal="center"/>
    </xf>
    <xf numFmtId="4" fontId="10" fillId="0" borderId="5" xfId="0" applyNumberFormat="1" applyFont="1" applyBorder="1" applyAlignment="1" applyProtection="1">
      <alignment horizontal="right"/>
    </xf>
    <xf numFmtId="49" fontId="10" fillId="0" borderId="43" xfId="0" applyNumberFormat="1" applyFont="1" applyBorder="1" applyAlignment="1" applyProtection="1">
      <alignment horizontal="center" wrapText="1"/>
    </xf>
    <xf numFmtId="49" fontId="10" fillId="0" borderId="43" xfId="0" applyNumberFormat="1" applyFont="1" applyBorder="1" applyAlignment="1" applyProtection="1">
      <alignment horizontal="center"/>
    </xf>
    <xf numFmtId="4" fontId="10" fillId="0" borderId="19" xfId="0" applyNumberFormat="1" applyFont="1" applyBorder="1" applyAlignment="1" applyProtection="1">
      <alignment horizontal="right"/>
    </xf>
    <xf numFmtId="49" fontId="10" fillId="0" borderId="0" xfId="0" applyNumberFormat="1" applyFont="1" applyBorder="1" applyAlignment="1" applyProtection="1">
      <alignment horizontal="center" wrapText="1"/>
    </xf>
    <xf numFmtId="49" fontId="10" fillId="0" borderId="41" xfId="0" applyNumberFormat="1" applyFont="1" applyBorder="1" applyAlignment="1" applyProtection="1">
      <alignment horizontal="center" wrapText="1"/>
    </xf>
    <xf numFmtId="49" fontId="10" fillId="0" borderId="57" xfId="0" applyNumberFormat="1" applyFont="1" applyBorder="1" applyAlignment="1" applyProtection="1">
      <alignment horizontal="center" wrapText="1"/>
    </xf>
    <xf numFmtId="49" fontId="10" fillId="0" borderId="47" xfId="0" applyNumberFormat="1" applyFont="1" applyBorder="1" applyAlignment="1" applyProtection="1">
      <alignment horizontal="center" wrapText="1"/>
    </xf>
    <xf numFmtId="49" fontId="10" fillId="0" borderId="48" xfId="0" applyNumberFormat="1" applyFont="1" applyBorder="1" applyAlignment="1" applyProtection="1">
      <alignment horizontal="center" wrapText="1"/>
    </xf>
    <xf numFmtId="49" fontId="10" fillId="0" borderId="37" xfId="0" applyNumberFormat="1" applyFont="1" applyBorder="1" applyAlignment="1" applyProtection="1">
      <alignment horizontal="center" wrapText="1"/>
    </xf>
    <xf numFmtId="49" fontId="10" fillId="0" borderId="42" xfId="0" applyNumberFormat="1" applyFont="1" applyBorder="1" applyAlignment="1" applyProtection="1">
      <alignment horizontal="center" wrapText="1"/>
    </xf>
    <xf numFmtId="49" fontId="11" fillId="0" borderId="36" xfId="0" applyNumberFormat="1" applyFont="1" applyBorder="1" applyAlignment="1" applyProtection="1">
      <alignment horizontal="center" wrapText="1"/>
    </xf>
    <xf numFmtId="49" fontId="10" fillId="0" borderId="66" xfId="0" applyNumberFormat="1" applyFont="1" applyBorder="1" applyAlignment="1" applyProtection="1">
      <alignment horizontal="center" wrapText="1"/>
    </xf>
    <xf numFmtId="49" fontId="10" fillId="0" borderId="12" xfId="0" applyNumberFormat="1" applyFont="1" applyBorder="1" applyAlignment="1" applyProtection="1">
      <alignment horizontal="center" wrapText="1"/>
    </xf>
    <xf numFmtId="49" fontId="10" fillId="0" borderId="6" xfId="0" applyNumberFormat="1" applyFont="1" applyBorder="1" applyAlignment="1" applyProtection="1">
      <alignment horizontal="center"/>
    </xf>
    <xf numFmtId="4" fontId="10" fillId="0" borderId="12" xfId="0" applyNumberFormat="1" applyFont="1" applyBorder="1" applyAlignment="1" applyProtection="1">
      <alignment horizontal="right"/>
    </xf>
    <xf numFmtId="49" fontId="10" fillId="0" borderId="17" xfId="0" applyNumberFormat="1" applyFont="1" applyBorder="1" applyAlignment="1" applyProtection="1">
      <alignment horizontal="left" wrapText="1"/>
    </xf>
    <xf numFmtId="0" fontId="10" fillId="0" borderId="5" xfId="0" applyFont="1" applyBorder="1" applyAlignment="1" applyProtection="1"/>
    <xf numFmtId="0" fontId="10" fillId="0" borderId="25" xfId="0" applyFont="1" applyBorder="1" applyAlignment="1" applyProtection="1"/>
    <xf numFmtId="0" fontId="10" fillId="0" borderId="25" xfId="0" applyFont="1" applyBorder="1" applyAlignment="1" applyProtection="1">
      <alignment horizontal="center"/>
    </xf>
    <xf numFmtId="0" fontId="10" fillId="0" borderId="25" xfId="0" applyFont="1" applyBorder="1" applyAlignment="1" applyProtection="1">
      <alignment horizontal="right"/>
    </xf>
    <xf numFmtId="49" fontId="10" fillId="0" borderId="24" xfId="0" applyNumberFormat="1" applyFont="1" applyBorder="1" applyAlignment="1" applyProtection="1">
      <alignment horizontal="left" wrapText="1"/>
    </xf>
    <xf numFmtId="49" fontId="10" fillId="0" borderId="26" xfId="0" applyNumberFormat="1" applyFont="1" applyBorder="1" applyAlignment="1" applyProtection="1">
      <alignment horizontal="center" wrapText="1"/>
    </xf>
    <xf numFmtId="49" fontId="10" fillId="0" borderId="25" xfId="0" applyNumberFormat="1" applyFont="1" applyBorder="1" applyAlignment="1" applyProtection="1">
      <alignment horizontal="center" wrapText="1"/>
    </xf>
    <xf numFmtId="49" fontId="10" fillId="0" borderId="27" xfId="0" applyNumberFormat="1" applyFont="1" applyBorder="1" applyAlignment="1" applyProtection="1">
      <alignment horizontal="center"/>
    </xf>
    <xf numFmtId="4" fontId="10" fillId="0" borderId="27" xfId="0" applyNumberFormat="1" applyFont="1" applyBorder="1" applyAlignment="1" applyProtection="1">
      <alignment horizontal="right"/>
    </xf>
    <xf numFmtId="0" fontId="10" fillId="0" borderId="0" xfId="0" applyFont="1"/>
    <xf numFmtId="0" fontId="5" fillId="0" borderId="20" xfId="0" applyFont="1" applyBorder="1" applyAlignment="1" applyProtection="1">
      <alignment horizontal="center"/>
    </xf>
    <xf numFmtId="49" fontId="5" fillId="0" borderId="20" xfId="0" applyNumberFormat="1" applyFont="1" applyBorder="1" applyAlignment="1" applyProtection="1">
      <alignment horizontal="center" vertical="center"/>
    </xf>
    <xf numFmtId="0" fontId="10" fillId="0" borderId="56" xfId="0" applyFont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/>
    </xf>
    <xf numFmtId="0" fontId="10" fillId="0" borderId="42" xfId="0" applyFont="1" applyBorder="1" applyAlignment="1" applyProtection="1">
      <alignment horizontal="center" vertical="center"/>
    </xf>
    <xf numFmtId="49" fontId="10" fillId="0" borderId="45" xfId="0" applyNumberFormat="1" applyFont="1" applyBorder="1" applyAlignment="1" applyProtection="1">
      <alignment horizontal="center" vertical="center"/>
    </xf>
    <xf numFmtId="49" fontId="11" fillId="0" borderId="67" xfId="0" applyNumberFormat="1" applyFont="1" applyBorder="1" applyAlignment="1" applyProtection="1">
      <alignment horizontal="left" wrapText="1"/>
    </xf>
    <xf numFmtId="49" fontId="11" fillId="0" borderId="47" xfId="0" applyNumberFormat="1" applyFont="1" applyBorder="1" applyAlignment="1" applyProtection="1">
      <alignment horizontal="center" wrapText="1"/>
    </xf>
    <xf numFmtId="49" fontId="11" fillId="0" borderId="3" xfId="0" applyNumberFormat="1" applyFont="1" applyBorder="1" applyAlignment="1" applyProtection="1">
      <alignment horizontal="center" wrapText="1"/>
    </xf>
    <xf numFmtId="0" fontId="10" fillId="0" borderId="68" xfId="0" applyFont="1" applyBorder="1" applyAlignment="1" applyProtection="1">
      <alignment horizontal="left"/>
    </xf>
    <xf numFmtId="0" fontId="10" fillId="0" borderId="46" xfId="0" applyFont="1" applyBorder="1" applyAlignment="1" applyProtection="1">
      <alignment horizontal="center"/>
    </xf>
    <xf numFmtId="0" fontId="10" fillId="0" borderId="43" xfId="0" applyFont="1" applyBorder="1" applyAlignment="1" applyProtection="1">
      <alignment horizontal="center"/>
    </xf>
    <xf numFmtId="49" fontId="11" fillId="0" borderId="48" xfId="0" applyNumberFormat="1" applyFont="1" applyBorder="1" applyAlignment="1" applyProtection="1">
      <alignment horizontal="center" wrapText="1"/>
    </xf>
    <xf numFmtId="49" fontId="11" fillId="0" borderId="68" xfId="0" applyNumberFormat="1" applyFont="1" applyBorder="1" applyAlignment="1" applyProtection="1">
      <alignment horizontal="left" wrapText="1"/>
    </xf>
    <xf numFmtId="49" fontId="11" fillId="0" borderId="46" xfId="0" applyNumberFormat="1" applyFont="1" applyBorder="1" applyAlignment="1" applyProtection="1">
      <alignment horizontal="center" wrapText="1"/>
    </xf>
    <xf numFmtId="49" fontId="11" fillId="0" borderId="43" xfId="0" applyNumberFormat="1" applyFont="1" applyBorder="1" applyAlignment="1" applyProtection="1">
      <alignment horizontal="center" wrapText="1"/>
    </xf>
    <xf numFmtId="49" fontId="10" fillId="0" borderId="32" xfId="0" applyNumberFormat="1" applyFont="1" applyBorder="1" applyAlignment="1" applyProtection="1">
      <alignment horizontal="left" wrapText="1"/>
    </xf>
    <xf numFmtId="49" fontId="10" fillId="0" borderId="49" xfId="0" applyNumberFormat="1" applyFont="1" applyBorder="1" applyAlignment="1" applyProtection="1">
      <alignment horizontal="center" wrapText="1"/>
    </xf>
    <xf numFmtId="49" fontId="10" fillId="0" borderId="32" xfId="0" applyNumberFormat="1" applyFont="1" applyBorder="1" applyAlignment="1" applyProtection="1">
      <alignment horizontal="center" wrapText="1"/>
    </xf>
    <xf numFmtId="49" fontId="11" fillId="0" borderId="69" xfId="0" applyNumberFormat="1" applyFont="1" applyBorder="1" applyAlignment="1" applyProtection="1">
      <alignment horizontal="left" wrapText="1"/>
    </xf>
    <xf numFmtId="49" fontId="10" fillId="0" borderId="65" xfId="0" applyNumberFormat="1" applyFont="1" applyBorder="1" applyAlignment="1" applyProtection="1">
      <alignment horizontal="left" wrapText="1"/>
    </xf>
    <xf numFmtId="49" fontId="10" fillId="0" borderId="70" xfId="0" applyNumberFormat="1" applyFont="1" applyBorder="1" applyAlignment="1" applyProtection="1">
      <alignment horizontal="center" wrapText="1"/>
    </xf>
    <xf numFmtId="49" fontId="10" fillId="0" borderId="6" xfId="0" applyNumberFormat="1" applyFont="1" applyBorder="1" applyAlignment="1" applyProtection="1">
      <alignment horizontal="center" wrapText="1"/>
    </xf>
    <xf numFmtId="0" fontId="10" fillId="0" borderId="0" xfId="1" applyFont="1" applyFill="1" applyAlignment="1">
      <alignment horizontal="center" vertical="center"/>
    </xf>
    <xf numFmtId="0" fontId="10" fillId="0" borderId="0" xfId="2" applyFont="1" applyFill="1" applyAlignment="1"/>
    <xf numFmtId="0" fontId="12" fillId="0" borderId="0" xfId="0" applyFont="1" applyBorder="1" applyAlignment="1" applyProtection="1">
      <alignment horizontal="right"/>
    </xf>
    <xf numFmtId="0" fontId="10" fillId="0" borderId="37" xfId="0" applyFont="1" applyBorder="1" applyAlignment="1" applyProtection="1">
      <alignment horizontal="center" vertical="center"/>
    </xf>
    <xf numFmtId="49" fontId="10" fillId="0" borderId="39" xfId="0" applyNumberFormat="1" applyFont="1" applyBorder="1" applyAlignment="1" applyProtection="1">
      <alignment horizontal="center" vertical="center"/>
    </xf>
    <xf numFmtId="49" fontId="10" fillId="0" borderId="42" xfId="0" applyNumberFormat="1" applyFont="1" applyBorder="1" applyAlignment="1" applyProtection="1">
      <alignment horizontal="center" vertical="center"/>
    </xf>
    <xf numFmtId="49" fontId="10" fillId="0" borderId="36" xfId="0" applyNumberFormat="1" applyFont="1" applyBorder="1" applyAlignment="1" applyProtection="1">
      <alignment horizontal="center"/>
    </xf>
    <xf numFmtId="49" fontId="10" fillId="0" borderId="11" xfId="0" applyNumberFormat="1" applyFont="1" applyBorder="1" applyAlignment="1" applyProtection="1">
      <alignment horizontal="left" wrapText="1"/>
    </xf>
    <xf numFmtId="49" fontId="11" fillId="0" borderId="49" xfId="0" applyNumberFormat="1" applyFont="1" applyBorder="1" applyAlignment="1" applyProtection="1">
      <alignment horizontal="center"/>
    </xf>
    <xf numFmtId="49" fontId="10" fillId="0" borderId="49" xfId="0" applyNumberFormat="1" applyFont="1" applyBorder="1" applyAlignment="1" applyProtection="1">
      <alignment horizontal="center"/>
    </xf>
    <xf numFmtId="49" fontId="10" fillId="0" borderId="48" xfId="0" applyNumberFormat="1" applyFont="1" applyBorder="1" applyAlignment="1" applyProtection="1">
      <alignment horizontal="center"/>
    </xf>
    <xf numFmtId="164" fontId="10" fillId="0" borderId="51" xfId="0" applyNumberFormat="1" applyFont="1" applyBorder="1" applyAlignment="1" applyProtection="1">
      <alignment horizontal="left" wrapText="1"/>
    </xf>
    <xf numFmtId="164" fontId="10" fillId="0" borderId="41" xfId="0" applyNumberFormat="1" applyFont="1" applyBorder="1" applyAlignment="1" applyProtection="1">
      <alignment horizontal="left" wrapText="1"/>
    </xf>
    <xf numFmtId="164" fontId="10" fillId="0" borderId="32" xfId="0" applyNumberFormat="1" applyFont="1" applyBorder="1" applyAlignment="1" applyProtection="1">
      <alignment horizontal="left" wrapText="1"/>
    </xf>
    <xf numFmtId="49" fontId="11" fillId="0" borderId="36" xfId="0" applyNumberFormat="1" applyFont="1" applyBorder="1" applyAlignment="1" applyProtection="1">
      <alignment horizontal="center"/>
    </xf>
    <xf numFmtId="49" fontId="10" fillId="0" borderId="36" xfId="0" applyNumberFormat="1" applyFont="1" applyBorder="1" applyAlignment="1" applyProtection="1">
      <alignment horizontal="center" vertical="top"/>
    </xf>
    <xf numFmtId="49" fontId="10" fillId="0" borderId="35" xfId="0" applyNumberFormat="1" applyFont="1" applyBorder="1" applyAlignment="1" applyProtection="1">
      <alignment horizontal="center"/>
    </xf>
    <xf numFmtId="49" fontId="10" fillId="0" borderId="40" xfId="0" applyNumberFormat="1" applyFont="1" applyBorder="1" applyAlignment="1" applyProtection="1">
      <alignment horizontal="left" wrapText="1"/>
    </xf>
    <xf numFmtId="49" fontId="10" fillId="0" borderId="37" xfId="0" applyNumberFormat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165" fontId="11" fillId="0" borderId="32" xfId="0" applyNumberFormat="1" applyFont="1" applyBorder="1" applyAlignment="1" applyProtection="1">
      <alignment horizontal="right"/>
    </xf>
    <xf numFmtId="165" fontId="10" fillId="0" borderId="41" xfId="0" applyNumberFormat="1" applyFont="1" applyBorder="1" applyAlignment="1" applyProtection="1">
      <alignment horizontal="right"/>
    </xf>
    <xf numFmtId="165" fontId="10" fillId="0" borderId="32" xfId="0" applyNumberFormat="1" applyFont="1" applyBorder="1" applyAlignment="1" applyProtection="1">
      <alignment horizontal="right"/>
    </xf>
    <xf numFmtId="165" fontId="10" fillId="0" borderId="2" xfId="0" applyNumberFormat="1" applyFont="1" applyBorder="1" applyAlignment="1" applyProtection="1">
      <alignment horizontal="right"/>
    </xf>
    <xf numFmtId="165" fontId="11" fillId="0" borderId="41" xfId="0" applyNumberFormat="1" applyFont="1" applyBorder="1" applyAlignment="1" applyProtection="1">
      <alignment horizontal="right"/>
    </xf>
    <xf numFmtId="165" fontId="10" fillId="0" borderId="40" xfId="0" applyNumberFormat="1" applyFont="1" applyBorder="1" applyAlignment="1" applyProtection="1">
      <alignment horizontal="right"/>
    </xf>
    <xf numFmtId="165" fontId="10" fillId="0" borderId="42" xfId="0" applyNumberFormat="1" applyFont="1" applyBorder="1" applyAlignment="1" applyProtection="1">
      <alignment horizontal="right"/>
    </xf>
    <xf numFmtId="165" fontId="5" fillId="0" borderId="20" xfId="0" applyNumberFormat="1" applyFont="1" applyBorder="1" applyAlignment="1" applyProtection="1">
      <alignment horizontal="center" vertical="center"/>
    </xf>
    <xf numFmtId="165" fontId="0" fillId="0" borderId="0" xfId="0" applyNumberFormat="1"/>
    <xf numFmtId="165" fontId="10" fillId="0" borderId="3" xfId="0" applyNumberFormat="1" applyFont="1" applyBorder="1" applyAlignment="1" applyProtection="1">
      <alignment horizontal="right"/>
    </xf>
    <xf numFmtId="165" fontId="10" fillId="0" borderId="43" xfId="0" applyNumberFormat="1" applyFont="1" applyBorder="1" applyAlignment="1" applyProtection="1">
      <alignment horizontal="right"/>
    </xf>
    <xf numFmtId="165" fontId="10" fillId="0" borderId="1" xfId="0" applyNumberFormat="1" applyFont="1" applyBorder="1" applyAlignment="1" applyProtection="1">
      <alignment horizontal="right"/>
    </xf>
    <xf numFmtId="165" fontId="11" fillId="0" borderId="2" xfId="0" applyNumberFormat="1" applyFont="1" applyBorder="1" applyAlignment="1" applyProtection="1">
      <alignment horizontal="right"/>
    </xf>
    <xf numFmtId="165" fontId="3" fillId="0" borderId="2" xfId="0" applyNumberFormat="1" applyFont="1" applyBorder="1" applyAlignment="1" applyProtection="1">
      <alignment horizontal="right"/>
    </xf>
    <xf numFmtId="165" fontId="1" fillId="0" borderId="3" xfId="0" applyNumberFormat="1" applyFont="1" applyBorder="1" applyAlignment="1" applyProtection="1">
      <alignment horizontal="right"/>
    </xf>
    <xf numFmtId="165" fontId="11" fillId="2" borderId="32" xfId="0" applyNumberFormat="1" applyFont="1" applyFill="1" applyBorder="1" applyAlignment="1" applyProtection="1">
      <alignment horizontal="right"/>
    </xf>
    <xf numFmtId="165" fontId="10" fillId="0" borderId="41" xfId="0" applyNumberFormat="1" applyFont="1" applyBorder="1" applyAlignment="1" applyProtection="1"/>
    <xf numFmtId="165" fontId="10" fillId="0" borderId="6" xfId="0" applyNumberFormat="1" applyFont="1" applyBorder="1" applyAlignment="1" applyProtection="1">
      <alignment horizontal="right"/>
    </xf>
    <xf numFmtId="165" fontId="10" fillId="0" borderId="32" xfId="0" applyNumberFormat="1" applyFont="1" applyBorder="1" applyAlignment="1" applyProtection="1"/>
    <xf numFmtId="165" fontId="10" fillId="0" borderId="0" xfId="0" applyNumberFormat="1" applyFont="1"/>
    <xf numFmtId="165" fontId="13" fillId="0" borderId="0" xfId="0" applyNumberFormat="1" applyFont="1"/>
    <xf numFmtId="165" fontId="11" fillId="0" borderId="55" xfId="0" applyNumberFormat="1" applyFont="1" applyBorder="1" applyAlignment="1" applyProtection="1">
      <alignment horizontal="right"/>
    </xf>
    <xf numFmtId="165" fontId="10" fillId="0" borderId="54" xfId="0" applyNumberFormat="1" applyFont="1" applyBorder="1" applyAlignment="1" applyProtection="1">
      <alignment horizontal="center"/>
    </xf>
    <xf numFmtId="165" fontId="11" fillId="0" borderId="52" xfId="0" applyNumberFormat="1" applyFont="1" applyBorder="1" applyAlignment="1" applyProtection="1">
      <alignment horizontal="right"/>
    </xf>
    <xf numFmtId="165" fontId="11" fillId="0" borderId="54" xfId="0" applyNumberFormat="1" applyFont="1" applyBorder="1" applyAlignment="1" applyProtection="1">
      <alignment horizontal="right"/>
    </xf>
    <xf numFmtId="165" fontId="10" fillId="0" borderId="50" xfId="0" applyNumberFormat="1" applyFont="1" applyBorder="1" applyAlignment="1" applyProtection="1">
      <alignment horizontal="right"/>
    </xf>
    <xf numFmtId="165" fontId="10" fillId="0" borderId="53" xfId="0" applyNumberFormat="1" applyFont="1" applyBorder="1" applyAlignment="1" applyProtection="1">
      <alignment horizontal="right"/>
    </xf>
    <xf numFmtId="49" fontId="11" fillId="0" borderId="49" xfId="0" applyNumberFormat="1" applyFont="1" applyBorder="1" applyAlignment="1" applyProtection="1">
      <alignment horizontal="center" wrapText="1"/>
    </xf>
    <xf numFmtId="49" fontId="11" fillId="0" borderId="50" xfId="0" applyNumberFormat="1" applyFont="1" applyBorder="1" applyAlignment="1" applyProtection="1">
      <alignment horizontal="center" wrapText="1"/>
    </xf>
    <xf numFmtId="49" fontId="11" fillId="0" borderId="40" xfId="0" applyNumberFormat="1" applyFont="1" applyBorder="1" applyAlignment="1" applyProtection="1">
      <alignment horizontal="center" vertical="center" wrapText="1"/>
    </xf>
    <xf numFmtId="49" fontId="11" fillId="0" borderId="41" xfId="0" applyNumberFormat="1" applyFont="1" applyBorder="1" applyAlignment="1" applyProtection="1">
      <alignment horizontal="center" vertical="center" wrapText="1"/>
    </xf>
    <xf numFmtId="49" fontId="11" fillId="0" borderId="42" xfId="0" applyNumberFormat="1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/>
    </xf>
    <xf numFmtId="0" fontId="11" fillId="0" borderId="35" xfId="0" applyFont="1" applyBorder="1" applyAlignment="1" applyProtection="1">
      <alignment horizontal="center" vertical="center" wrapText="1"/>
    </xf>
    <xf numFmtId="0" fontId="11" fillId="0" borderId="31" xfId="0" applyFont="1" applyBorder="1" applyAlignment="1" applyProtection="1">
      <alignment horizontal="center" vertical="center" wrapText="1"/>
    </xf>
    <xf numFmtId="0" fontId="11" fillId="0" borderId="36" xfId="0" applyFont="1" applyBorder="1" applyAlignment="1" applyProtection="1">
      <alignment horizontal="center" vertical="center" wrapText="1"/>
    </xf>
    <xf numFmtId="0" fontId="11" fillId="0" borderId="44" xfId="0" applyFont="1" applyBorder="1" applyAlignment="1" applyProtection="1">
      <alignment horizontal="center" vertical="center" wrapText="1"/>
    </xf>
    <xf numFmtId="0" fontId="11" fillId="0" borderId="37" xfId="0" applyFont="1" applyBorder="1" applyAlignment="1" applyProtection="1">
      <alignment horizontal="center" vertical="center" wrapText="1"/>
    </xf>
    <xf numFmtId="0" fontId="11" fillId="0" borderId="45" xfId="0" applyFont="1" applyBorder="1" applyAlignment="1" applyProtection="1">
      <alignment horizontal="center" vertical="center" wrapText="1"/>
    </xf>
    <xf numFmtId="0" fontId="10" fillId="0" borderId="0" xfId="2" applyFont="1" applyFill="1" applyAlignment="1">
      <alignment horizontal="right"/>
    </xf>
    <xf numFmtId="0" fontId="10" fillId="0" borderId="0" xfId="3" applyFont="1" applyFill="1" applyAlignment="1">
      <alignment horizontal="right" vertical="center"/>
    </xf>
    <xf numFmtId="49" fontId="12" fillId="0" borderId="0" xfId="0" applyNumberFormat="1" applyFont="1" applyBorder="1" applyAlignment="1" applyProtection="1">
      <alignment horizontal="left" wrapText="1"/>
    </xf>
    <xf numFmtId="49" fontId="11" fillId="0" borderId="0" xfId="0" applyNumberFormat="1" applyFont="1" applyBorder="1" applyAlignment="1" applyProtection="1">
      <alignment horizontal="center"/>
    </xf>
    <xf numFmtId="0" fontId="8" fillId="0" borderId="0" xfId="2" applyFont="1" applyFill="1" applyAlignment="1">
      <alignment horizontal="right"/>
    </xf>
    <xf numFmtId="0" fontId="15" fillId="0" borderId="0" xfId="0" applyFont="1" applyAlignment="1">
      <alignment horizontal="center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49" fontId="1" fillId="0" borderId="44" xfId="0" applyNumberFormat="1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center" vertical="center" wrapText="1"/>
    </xf>
    <xf numFmtId="0" fontId="10" fillId="0" borderId="22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6" xfId="0" applyFont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horizontal="center" vertical="center" wrapText="1"/>
    </xf>
    <xf numFmtId="49" fontId="10" fillId="0" borderId="21" xfId="0" applyNumberFormat="1" applyFont="1" applyBorder="1" applyAlignment="1" applyProtection="1">
      <alignment horizontal="center" vertical="center" wrapText="1"/>
    </xf>
    <xf numFmtId="49" fontId="10" fillId="0" borderId="22" xfId="0" applyNumberFormat="1" applyFont="1" applyBorder="1" applyAlignment="1" applyProtection="1">
      <alignment horizontal="center" vertical="center" wrapText="1"/>
    </xf>
    <xf numFmtId="49" fontId="10" fillId="0" borderId="33" xfId="0" applyNumberFormat="1" applyFont="1" applyBorder="1" applyAlignment="1" applyProtection="1">
      <alignment horizontal="center" vertical="center" wrapText="1"/>
    </xf>
    <xf numFmtId="49" fontId="10" fillId="0" borderId="40" xfId="0" applyNumberFormat="1" applyFont="1" applyBorder="1" applyAlignment="1" applyProtection="1">
      <alignment horizontal="center" vertical="center"/>
    </xf>
    <xf numFmtId="49" fontId="10" fillId="0" borderId="41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56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1" fillId="0" borderId="34" xfId="0" applyFont="1" applyBorder="1" applyAlignment="1" applyProtection="1">
      <alignment horizontal="center" vertical="center" wrapText="1"/>
    </xf>
    <xf numFmtId="49" fontId="11" fillId="0" borderId="20" xfId="0" applyNumberFormat="1" applyFont="1" applyBorder="1" applyAlignment="1" applyProtection="1">
      <alignment horizontal="center" vertical="center" wrapText="1"/>
    </xf>
    <xf numFmtId="49" fontId="11" fillId="0" borderId="0" xfId="0" applyNumberFormat="1" applyFont="1" applyBorder="1" applyAlignment="1" applyProtection="1">
      <alignment horizontal="center" vertical="center" wrapText="1"/>
    </xf>
    <xf numFmtId="49" fontId="11" fillId="0" borderId="29" xfId="0" applyNumberFormat="1" applyFont="1" applyBorder="1" applyAlignment="1" applyProtection="1">
      <alignment horizontal="center" vertical="center" wrapText="1"/>
    </xf>
    <xf numFmtId="0" fontId="16" fillId="0" borderId="0" xfId="0" applyFont="1" applyAlignment="1">
      <alignment horizontal="center"/>
    </xf>
    <xf numFmtId="49" fontId="12" fillId="0" borderId="0" xfId="0" applyNumberFormat="1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56" xfId="0" applyFont="1" applyBorder="1" applyAlignment="1" applyProtection="1">
      <alignment horizontal="center" vertical="center" wrapText="1"/>
    </xf>
    <xf numFmtId="0" fontId="10" fillId="0" borderId="33" xfId="0" applyFont="1" applyBorder="1" applyAlignment="1" applyProtection="1">
      <alignment horizontal="center" vertical="center" wrapText="1"/>
    </xf>
    <xf numFmtId="0" fontId="10" fillId="0" borderId="40" xfId="0" applyFont="1" applyBorder="1" applyAlignment="1" applyProtection="1">
      <alignment horizontal="center" vertical="center" wrapText="1"/>
    </xf>
    <xf numFmtId="0" fontId="10" fillId="0" borderId="41" xfId="0" applyFont="1" applyBorder="1" applyAlignment="1" applyProtection="1">
      <alignment horizontal="center" vertical="center" wrapText="1"/>
    </xf>
    <xf numFmtId="0" fontId="10" fillId="0" borderId="42" xfId="0" applyFont="1" applyBorder="1" applyAlignment="1" applyProtection="1">
      <alignment horizontal="center" vertical="center" wrapText="1"/>
    </xf>
    <xf numFmtId="49" fontId="10" fillId="0" borderId="31" xfId="0" applyNumberFormat="1" applyFont="1" applyBorder="1" applyAlignment="1" applyProtection="1">
      <alignment horizontal="center" vertical="center" wrapText="1"/>
    </xf>
    <xf numFmtId="49" fontId="10" fillId="0" borderId="44" xfId="0" applyNumberFormat="1" applyFont="1" applyBorder="1" applyAlignment="1" applyProtection="1">
      <alignment horizontal="center" vertical="center" wrapText="1"/>
    </xf>
    <xf numFmtId="49" fontId="10" fillId="0" borderId="45" xfId="0" applyNumberFormat="1" applyFont="1" applyBorder="1" applyAlignment="1" applyProtection="1">
      <alignment horizontal="center" vertical="center" wrapText="1"/>
    </xf>
  </cellXfs>
  <cellStyles count="4">
    <cellStyle name="Обычный" xfId="0" builtinId="0"/>
    <cellStyle name="Обычный 2 2" xfId="3"/>
    <cellStyle name="Обычный_3 и 4 2012 г" xfId="2"/>
    <cellStyle name="Обычный_классификация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7"/>
  <sheetViews>
    <sheetView showGridLines="0" tabSelected="1" workbookViewId="0">
      <selection activeCell="B119" sqref="B119"/>
    </sheetView>
  </sheetViews>
  <sheetFormatPr defaultRowHeight="12.75" customHeight="1" x14ac:dyDescent="0.2"/>
  <cols>
    <col min="1" max="1" width="30.140625" customWidth="1"/>
    <col min="2" max="2" width="41.28515625" customWidth="1"/>
    <col min="3" max="3" width="18.7109375" customWidth="1"/>
  </cols>
  <sheetData>
    <row r="1" spans="1:8" ht="15.75" x14ac:dyDescent="0.25">
      <c r="A1" s="195"/>
      <c r="B1" s="254" t="s">
        <v>658</v>
      </c>
      <c r="C1" s="254"/>
      <c r="D1" s="36"/>
      <c r="E1" s="36"/>
      <c r="F1" s="36"/>
      <c r="G1" s="36"/>
      <c r="H1" s="36"/>
    </row>
    <row r="2" spans="1:8" ht="16.899999999999999" customHeight="1" x14ac:dyDescent="0.25">
      <c r="A2" s="196"/>
      <c r="B2" s="254" t="s">
        <v>652</v>
      </c>
      <c r="C2" s="254"/>
      <c r="D2" s="36"/>
      <c r="E2" s="36"/>
      <c r="F2" s="36"/>
      <c r="G2" s="36"/>
      <c r="H2" s="36"/>
    </row>
    <row r="3" spans="1:8" ht="15.75" x14ac:dyDescent="0.25">
      <c r="A3" s="254" t="s">
        <v>653</v>
      </c>
      <c r="B3" s="254"/>
      <c r="C3" s="254"/>
      <c r="D3" s="36"/>
      <c r="E3" s="36"/>
      <c r="F3" s="36"/>
      <c r="G3" s="36"/>
      <c r="H3" s="36"/>
    </row>
    <row r="4" spans="1:8" ht="15.75" x14ac:dyDescent="0.25">
      <c r="A4" s="254" t="s">
        <v>654</v>
      </c>
      <c r="B4" s="254"/>
      <c r="C4" s="254"/>
      <c r="D4" s="36"/>
      <c r="E4" s="36"/>
      <c r="F4" s="36"/>
      <c r="G4" s="36"/>
      <c r="H4" s="36"/>
    </row>
    <row r="5" spans="1:8" ht="15.75" x14ac:dyDescent="0.2">
      <c r="A5" s="255" t="s">
        <v>656</v>
      </c>
      <c r="B5" s="255"/>
      <c r="C5" s="255"/>
      <c r="D5" s="43"/>
      <c r="E5" s="43"/>
      <c r="F5" s="43"/>
      <c r="G5" s="43"/>
      <c r="H5" s="43"/>
    </row>
    <row r="6" spans="1:8" x14ac:dyDescent="0.2">
      <c r="A6" s="256"/>
      <c r="B6" s="256"/>
      <c r="C6" s="197"/>
    </row>
    <row r="7" spans="1:8" ht="15.75" x14ac:dyDescent="0.25">
      <c r="A7" s="247" t="s">
        <v>526</v>
      </c>
      <c r="B7" s="247"/>
      <c r="C7" s="247"/>
    </row>
    <row r="8" spans="1:8" ht="12" customHeight="1" x14ac:dyDescent="0.25">
      <c r="A8" s="257" t="s">
        <v>527</v>
      </c>
      <c r="B8" s="257"/>
      <c r="C8" s="257"/>
    </row>
    <row r="9" spans="1:8" ht="14.25" customHeight="1" x14ac:dyDescent="0.25">
      <c r="A9" s="247" t="s">
        <v>528</v>
      </c>
      <c r="B9" s="247"/>
      <c r="C9" s="247"/>
    </row>
    <row r="10" spans="1:8" ht="14.25" customHeight="1" x14ac:dyDescent="0.25">
      <c r="A10" s="247" t="s">
        <v>529</v>
      </c>
      <c r="B10" s="247"/>
      <c r="C10" s="247"/>
    </row>
    <row r="11" spans="1:8" ht="14.25" customHeight="1" x14ac:dyDescent="0.25">
      <c r="A11" s="247" t="s">
        <v>530</v>
      </c>
      <c r="B11" s="247"/>
      <c r="C11" s="247"/>
    </row>
    <row r="12" spans="1:8" ht="14.25" customHeight="1" x14ac:dyDescent="0.25">
      <c r="A12" s="214"/>
      <c r="B12" s="214"/>
      <c r="C12" s="214"/>
    </row>
    <row r="13" spans="1:8" ht="14.25" customHeight="1" thickBot="1" x14ac:dyDescent="0.3">
      <c r="A13" s="214"/>
      <c r="B13" s="214"/>
      <c r="C13" s="91" t="s">
        <v>537</v>
      </c>
    </row>
    <row r="14" spans="1:8" ht="21.75" customHeight="1" x14ac:dyDescent="0.2">
      <c r="A14" s="248" t="s">
        <v>4</v>
      </c>
      <c r="B14" s="249"/>
      <c r="C14" s="244" t="s">
        <v>5</v>
      </c>
    </row>
    <row r="15" spans="1:8" ht="3.6" customHeight="1" x14ac:dyDescent="0.2">
      <c r="A15" s="250"/>
      <c r="B15" s="251"/>
      <c r="C15" s="245"/>
    </row>
    <row r="16" spans="1:8" ht="3" customHeight="1" x14ac:dyDescent="0.2">
      <c r="A16" s="250"/>
      <c r="B16" s="251"/>
      <c r="C16" s="245"/>
    </row>
    <row r="17" spans="1:3" ht="3" customHeight="1" x14ac:dyDescent="0.2">
      <c r="A17" s="250"/>
      <c r="B17" s="251"/>
      <c r="C17" s="245"/>
    </row>
    <row r="18" spans="1:3" ht="3" customHeight="1" x14ac:dyDescent="0.2">
      <c r="A18" s="250"/>
      <c r="B18" s="251"/>
      <c r="C18" s="245"/>
    </row>
    <row r="19" spans="1:3" ht="3" customHeight="1" thickBot="1" x14ac:dyDescent="0.25">
      <c r="A19" s="250"/>
      <c r="B19" s="251"/>
      <c r="C19" s="245"/>
    </row>
    <row r="20" spans="1:3" ht="23.45" hidden="1" customHeight="1" x14ac:dyDescent="0.2">
      <c r="A20" s="252"/>
      <c r="B20" s="253"/>
      <c r="C20" s="246"/>
    </row>
    <row r="21" spans="1:3" ht="12.6" hidden="1" customHeight="1" thickBot="1" x14ac:dyDescent="0.25">
      <c r="A21" s="198">
        <v>3</v>
      </c>
      <c r="B21" s="199"/>
      <c r="C21" s="200" t="s">
        <v>7</v>
      </c>
    </row>
    <row r="22" spans="1:3" ht="16.5" thickBot="1" x14ac:dyDescent="0.3">
      <c r="A22" s="242" t="s">
        <v>9</v>
      </c>
      <c r="B22" s="243"/>
      <c r="C22" s="215">
        <f>92586684.67/1000</f>
        <v>92586.684670000002</v>
      </c>
    </row>
    <row r="23" spans="1:3" ht="15.75" hidden="1" x14ac:dyDescent="0.25">
      <c r="A23" s="201"/>
      <c r="B23" s="202"/>
      <c r="C23" s="216"/>
    </row>
    <row r="24" spans="1:3" ht="32.25" thickBot="1" x14ac:dyDescent="0.3">
      <c r="A24" s="203" t="s">
        <v>12</v>
      </c>
      <c r="B24" s="54" t="s">
        <v>11</v>
      </c>
      <c r="C24" s="215">
        <f>69948476.67/1000</f>
        <v>69948.476670000004</v>
      </c>
    </row>
    <row r="25" spans="1:3" ht="18" customHeight="1" thickBot="1" x14ac:dyDescent="0.3">
      <c r="A25" s="203" t="s">
        <v>14</v>
      </c>
      <c r="B25" s="54" t="s">
        <v>13</v>
      </c>
      <c r="C25" s="215">
        <f>27479341.98/1000</f>
        <v>27479.341980000001</v>
      </c>
    </row>
    <row r="26" spans="1:3" ht="19.5" customHeight="1" thickBot="1" x14ac:dyDescent="0.3">
      <c r="A26" s="204" t="s">
        <v>16</v>
      </c>
      <c r="B26" s="188" t="s">
        <v>15</v>
      </c>
      <c r="C26" s="217">
        <f>27479341.98/1000</f>
        <v>27479.341980000001</v>
      </c>
    </row>
    <row r="27" spans="1:3" ht="125.25" customHeight="1" thickBot="1" x14ac:dyDescent="0.3">
      <c r="A27" s="204" t="s">
        <v>18</v>
      </c>
      <c r="B27" s="188" t="s">
        <v>17</v>
      </c>
      <c r="C27" s="217">
        <f>27392059.9/1000</f>
        <v>27392.0599</v>
      </c>
    </row>
    <row r="28" spans="1:3" ht="173.25" hidden="1" x14ac:dyDescent="0.25">
      <c r="A28" s="205" t="s">
        <v>20</v>
      </c>
      <c r="B28" s="206" t="s">
        <v>19</v>
      </c>
      <c r="C28" s="218">
        <v>27351364.550000001</v>
      </c>
    </row>
    <row r="29" spans="1:3" ht="141.75" hidden="1" x14ac:dyDescent="0.25">
      <c r="A29" s="205" t="s">
        <v>23</v>
      </c>
      <c r="B29" s="206" t="s">
        <v>22</v>
      </c>
      <c r="C29" s="218">
        <v>31111.46</v>
      </c>
    </row>
    <row r="30" spans="1:3" ht="189" hidden="1" x14ac:dyDescent="0.25">
      <c r="A30" s="205" t="s">
        <v>25</v>
      </c>
      <c r="B30" s="206" t="s">
        <v>24</v>
      </c>
      <c r="C30" s="218">
        <v>9603.76</v>
      </c>
    </row>
    <row r="31" spans="1:3" ht="189" hidden="1" x14ac:dyDescent="0.25">
      <c r="A31" s="201" t="s">
        <v>27</v>
      </c>
      <c r="B31" s="207" t="s">
        <v>26</v>
      </c>
      <c r="C31" s="216">
        <v>-19.87</v>
      </c>
    </row>
    <row r="32" spans="1:3" ht="201" customHeight="1" thickBot="1" x14ac:dyDescent="0.3">
      <c r="A32" s="204" t="s">
        <v>29</v>
      </c>
      <c r="B32" s="208" t="s">
        <v>28</v>
      </c>
      <c r="C32" s="217">
        <f>4906.6/1000</f>
        <v>4.9066000000000001</v>
      </c>
    </row>
    <row r="33" spans="1:3" ht="236.25" hidden="1" x14ac:dyDescent="0.25">
      <c r="A33" s="205" t="s">
        <v>31</v>
      </c>
      <c r="B33" s="206" t="s">
        <v>30</v>
      </c>
      <c r="C33" s="218">
        <v>4106.6000000000004</v>
      </c>
    </row>
    <row r="34" spans="1:3" ht="252" hidden="1" x14ac:dyDescent="0.25">
      <c r="A34" s="201" t="s">
        <v>33</v>
      </c>
      <c r="B34" s="207" t="s">
        <v>32</v>
      </c>
      <c r="C34" s="216">
        <v>800</v>
      </c>
    </row>
    <row r="35" spans="1:3" ht="77.25" customHeight="1" thickBot="1" x14ac:dyDescent="0.3">
      <c r="A35" s="204" t="s">
        <v>35</v>
      </c>
      <c r="B35" s="188" t="s">
        <v>34</v>
      </c>
      <c r="C35" s="217">
        <f>82375.48/1000</f>
        <v>82.375479999999996</v>
      </c>
    </row>
    <row r="36" spans="1:3" ht="126" hidden="1" x14ac:dyDescent="0.25">
      <c r="A36" s="205" t="s">
        <v>37</v>
      </c>
      <c r="B36" s="59" t="s">
        <v>36</v>
      </c>
      <c r="C36" s="218">
        <v>81592.7</v>
      </c>
    </row>
    <row r="37" spans="1:3" ht="94.5" hidden="1" x14ac:dyDescent="0.25">
      <c r="A37" s="205" t="s">
        <v>39</v>
      </c>
      <c r="B37" s="59" t="s">
        <v>38</v>
      </c>
      <c r="C37" s="218">
        <v>297.68</v>
      </c>
    </row>
    <row r="38" spans="1:3" ht="141.75" hidden="1" x14ac:dyDescent="0.25">
      <c r="A38" s="205" t="s">
        <v>41</v>
      </c>
      <c r="B38" s="59" t="s">
        <v>40</v>
      </c>
      <c r="C38" s="218">
        <v>485.1</v>
      </c>
    </row>
    <row r="39" spans="1:3" ht="63" customHeight="1" thickBot="1" x14ac:dyDescent="0.3">
      <c r="A39" s="209" t="s">
        <v>43</v>
      </c>
      <c r="B39" s="129" t="s">
        <v>42</v>
      </c>
      <c r="C39" s="219">
        <f>805424.41/1000</f>
        <v>805.42441000000008</v>
      </c>
    </row>
    <row r="40" spans="1:3" ht="48" customHeight="1" thickBot="1" x14ac:dyDescent="0.3">
      <c r="A40" s="204" t="s">
        <v>45</v>
      </c>
      <c r="B40" s="188" t="s">
        <v>44</v>
      </c>
      <c r="C40" s="217">
        <f>805424.41/1000</f>
        <v>805.42441000000008</v>
      </c>
    </row>
    <row r="41" spans="1:3" ht="124.5" customHeight="1" thickBot="1" x14ac:dyDescent="0.3">
      <c r="A41" s="201" t="s">
        <v>47</v>
      </c>
      <c r="B41" s="139" t="s">
        <v>46</v>
      </c>
      <c r="C41" s="216">
        <f>330948.4/1000</f>
        <v>330.94840000000005</v>
      </c>
    </row>
    <row r="42" spans="1:3" ht="153.75" customHeight="1" thickBot="1" x14ac:dyDescent="0.3">
      <c r="A42" s="204" t="s">
        <v>49</v>
      </c>
      <c r="B42" s="208" t="s">
        <v>48</v>
      </c>
      <c r="C42" s="217">
        <f>3359.65/1000</f>
        <v>3.3596500000000002</v>
      </c>
    </row>
    <row r="43" spans="1:3" ht="120" customHeight="1" thickBot="1" x14ac:dyDescent="0.3">
      <c r="A43" s="201" t="s">
        <v>51</v>
      </c>
      <c r="B43" s="139" t="s">
        <v>50</v>
      </c>
      <c r="C43" s="216">
        <f>535213.24/1000</f>
        <v>535.21324000000004</v>
      </c>
    </row>
    <row r="44" spans="1:3" ht="122.25" customHeight="1" thickBot="1" x14ac:dyDescent="0.3">
      <c r="A44" s="204" t="s">
        <v>53</v>
      </c>
      <c r="B44" s="188" t="s">
        <v>52</v>
      </c>
      <c r="C44" s="217">
        <f>-64096.88/1000</f>
        <v>-64.096879999999999</v>
      </c>
    </row>
    <row r="45" spans="1:3" ht="16.5" customHeight="1" thickBot="1" x14ac:dyDescent="0.3">
      <c r="A45" s="209" t="s">
        <v>55</v>
      </c>
      <c r="B45" s="129" t="s">
        <v>54</v>
      </c>
      <c r="C45" s="219">
        <f>327898.98/1000</f>
        <v>327.89897999999999</v>
      </c>
    </row>
    <row r="46" spans="1:3" ht="15" customHeight="1" thickBot="1" x14ac:dyDescent="0.3">
      <c r="A46" s="204" t="s">
        <v>57</v>
      </c>
      <c r="B46" s="188" t="s">
        <v>56</v>
      </c>
      <c r="C46" s="217">
        <f>327898.98/1000</f>
        <v>327.89897999999999</v>
      </c>
    </row>
    <row r="47" spans="1:3" ht="15.75" hidden="1" x14ac:dyDescent="0.25">
      <c r="A47" s="205" t="s">
        <v>58</v>
      </c>
      <c r="B47" s="59" t="s">
        <v>56</v>
      </c>
      <c r="C47" s="218">
        <v>327898.98</v>
      </c>
    </row>
    <row r="48" spans="1:3" ht="78" customHeight="1" thickBot="1" x14ac:dyDescent="0.3">
      <c r="A48" s="205" t="s">
        <v>60</v>
      </c>
      <c r="B48" s="59" t="s">
        <v>59</v>
      </c>
      <c r="C48" s="218">
        <f>310443/1000</f>
        <v>310.44299999999998</v>
      </c>
    </row>
    <row r="49" spans="1:3" ht="32.25" hidden="1" thickBot="1" x14ac:dyDescent="0.3">
      <c r="A49" s="201" t="s">
        <v>62</v>
      </c>
      <c r="B49" s="139" t="s">
        <v>61</v>
      </c>
      <c r="C49" s="216">
        <v>17455.98</v>
      </c>
    </row>
    <row r="50" spans="1:3" ht="16.5" thickBot="1" x14ac:dyDescent="0.3">
      <c r="A50" s="203" t="s">
        <v>64</v>
      </c>
      <c r="B50" s="54" t="s">
        <v>63</v>
      </c>
      <c r="C50" s="215">
        <f>35918886.8/1000</f>
        <v>35918.8868</v>
      </c>
    </row>
    <row r="51" spans="1:3" ht="15" customHeight="1" thickBot="1" x14ac:dyDescent="0.3">
      <c r="A51" s="201" t="s">
        <v>66</v>
      </c>
      <c r="B51" s="139" t="s">
        <v>65</v>
      </c>
      <c r="C51" s="216">
        <f>3853786.23/1000</f>
        <v>3853.7862300000002</v>
      </c>
    </row>
    <row r="52" spans="1:3" ht="45" customHeight="1" thickBot="1" x14ac:dyDescent="0.3">
      <c r="A52" s="204" t="s">
        <v>68</v>
      </c>
      <c r="B52" s="188" t="s">
        <v>67</v>
      </c>
      <c r="C52" s="217">
        <f>3853786.23/1000</f>
        <v>3853.7862300000002</v>
      </c>
    </row>
    <row r="53" spans="1:3" ht="81" hidden="1" customHeight="1" x14ac:dyDescent="0.25">
      <c r="A53" s="205" t="s">
        <v>70</v>
      </c>
      <c r="B53" s="59" t="s">
        <v>69</v>
      </c>
      <c r="C53" s="218">
        <v>3804822.82</v>
      </c>
    </row>
    <row r="54" spans="1:3" ht="94.5" hidden="1" x14ac:dyDescent="0.25">
      <c r="A54" s="201" t="s">
        <v>72</v>
      </c>
      <c r="B54" s="139" t="s">
        <v>71</v>
      </c>
      <c r="C54" s="216">
        <v>48963.41</v>
      </c>
    </row>
    <row r="55" spans="1:3" ht="16.5" thickBot="1" x14ac:dyDescent="0.3">
      <c r="A55" s="204" t="s">
        <v>74</v>
      </c>
      <c r="B55" s="188" t="s">
        <v>73</v>
      </c>
      <c r="C55" s="217">
        <f>32065100.57/1000</f>
        <v>32065.100569999999</v>
      </c>
    </row>
    <row r="56" spans="1:3" ht="15" customHeight="1" thickBot="1" x14ac:dyDescent="0.3">
      <c r="A56" s="205" t="s">
        <v>76</v>
      </c>
      <c r="B56" s="59" t="s">
        <v>75</v>
      </c>
      <c r="C56" s="218">
        <f>29324123.34/1000</f>
        <v>29324.123339999998</v>
      </c>
    </row>
    <row r="57" spans="1:3" ht="63" hidden="1" x14ac:dyDescent="0.25">
      <c r="A57" s="201" t="s">
        <v>78</v>
      </c>
      <c r="B57" s="139" t="s">
        <v>77</v>
      </c>
      <c r="C57" s="216">
        <v>29324123.34</v>
      </c>
    </row>
    <row r="58" spans="1:3" ht="15" customHeight="1" thickBot="1" x14ac:dyDescent="0.3">
      <c r="A58" s="204" t="s">
        <v>80</v>
      </c>
      <c r="B58" s="188" t="s">
        <v>79</v>
      </c>
      <c r="C58" s="217">
        <f>2740977.23/1000</f>
        <v>2740.97723</v>
      </c>
    </row>
    <row r="59" spans="1:3" ht="63" hidden="1" x14ac:dyDescent="0.25">
      <c r="A59" s="205" t="s">
        <v>82</v>
      </c>
      <c r="B59" s="59" t="s">
        <v>81</v>
      </c>
      <c r="C59" s="218">
        <v>2740977.23</v>
      </c>
    </row>
    <row r="60" spans="1:3" ht="15" hidden="1" customHeight="1" thickBot="1" x14ac:dyDescent="0.3">
      <c r="A60" s="209" t="s">
        <v>84</v>
      </c>
      <c r="B60" s="129" t="s">
        <v>83</v>
      </c>
      <c r="C60" s="219">
        <v>0</v>
      </c>
    </row>
    <row r="61" spans="1:3" ht="79.5" hidden="1" thickBot="1" x14ac:dyDescent="0.3">
      <c r="A61" s="204" t="s">
        <v>86</v>
      </c>
      <c r="B61" s="188" t="s">
        <v>85</v>
      </c>
      <c r="C61" s="217">
        <v>0</v>
      </c>
    </row>
    <row r="62" spans="1:3" ht="126" hidden="1" x14ac:dyDescent="0.25">
      <c r="A62" s="201" t="s">
        <v>88</v>
      </c>
      <c r="B62" s="139" t="s">
        <v>87</v>
      </c>
      <c r="C62" s="216" t="s">
        <v>21</v>
      </c>
    </row>
    <row r="63" spans="1:3" ht="81.75" customHeight="1" thickBot="1" x14ac:dyDescent="0.3">
      <c r="A63" s="203" t="s">
        <v>90</v>
      </c>
      <c r="B63" s="54" t="s">
        <v>89</v>
      </c>
      <c r="C63" s="215">
        <f>1637886.03/1000</f>
        <v>1637.8860300000001</v>
      </c>
    </row>
    <row r="64" spans="1:3" ht="142.5" hidden="1" thickBot="1" x14ac:dyDescent="0.3">
      <c r="A64" s="201" t="s">
        <v>92</v>
      </c>
      <c r="B64" s="207" t="s">
        <v>91</v>
      </c>
      <c r="C64" s="216">
        <v>942910.4</v>
      </c>
    </row>
    <row r="65" spans="1:3" ht="63.75" hidden="1" thickBot="1" x14ac:dyDescent="0.3">
      <c r="A65" s="204" t="s">
        <v>94</v>
      </c>
      <c r="B65" s="188" t="s">
        <v>93</v>
      </c>
      <c r="C65" s="217">
        <v>942910.4</v>
      </c>
    </row>
    <row r="66" spans="1:3" ht="64.5" customHeight="1" thickBot="1" x14ac:dyDescent="0.3">
      <c r="A66" s="205" t="s">
        <v>96</v>
      </c>
      <c r="B66" s="59" t="s">
        <v>95</v>
      </c>
      <c r="C66" s="218">
        <f>942910.4/1000</f>
        <v>942.91039999999998</v>
      </c>
    </row>
    <row r="67" spans="1:3" ht="89.25" hidden="1" customHeight="1" thickBot="1" x14ac:dyDescent="0.3">
      <c r="A67" s="201" t="s">
        <v>98</v>
      </c>
      <c r="B67" s="207" t="s">
        <v>97</v>
      </c>
      <c r="C67" s="216">
        <v>694975.63</v>
      </c>
    </row>
    <row r="68" spans="1:3" ht="89.25" hidden="1" customHeight="1" thickBot="1" x14ac:dyDescent="0.3">
      <c r="A68" s="204" t="s">
        <v>100</v>
      </c>
      <c r="B68" s="208" t="s">
        <v>99</v>
      </c>
      <c r="C68" s="217">
        <v>694975.63</v>
      </c>
    </row>
    <row r="69" spans="1:3" ht="123" customHeight="1" thickBot="1" x14ac:dyDescent="0.3">
      <c r="A69" s="204" t="s">
        <v>102</v>
      </c>
      <c r="B69" s="188" t="s">
        <v>101</v>
      </c>
      <c r="C69" s="217">
        <f>694975.63/1000</f>
        <v>694.97563000000002</v>
      </c>
    </row>
    <row r="70" spans="1:3" ht="48" customHeight="1" thickBot="1" x14ac:dyDescent="0.3">
      <c r="A70" s="203" t="s">
        <v>104</v>
      </c>
      <c r="B70" s="54" t="s">
        <v>103</v>
      </c>
      <c r="C70" s="215">
        <f>71406.01/1000</f>
        <v>71.406009999999995</v>
      </c>
    </row>
    <row r="71" spans="1:3" ht="12.75" hidden="1" customHeight="1" x14ac:dyDescent="0.25">
      <c r="A71" s="205" t="s">
        <v>106</v>
      </c>
      <c r="B71" s="59" t="s">
        <v>105</v>
      </c>
      <c r="C71" s="218">
        <v>71406.009999999995</v>
      </c>
    </row>
    <row r="72" spans="1:3" ht="31.5" hidden="1" x14ac:dyDescent="0.25">
      <c r="A72" s="205" t="s">
        <v>108</v>
      </c>
      <c r="B72" s="59" t="s">
        <v>107</v>
      </c>
      <c r="C72" s="218">
        <v>71406.009999999995</v>
      </c>
    </row>
    <row r="73" spans="1:3" ht="30.75" customHeight="1" thickBot="1" x14ac:dyDescent="0.3">
      <c r="A73" s="201" t="s">
        <v>110</v>
      </c>
      <c r="B73" s="139" t="s">
        <v>109</v>
      </c>
      <c r="C73" s="216">
        <f>71406.01/1000</f>
        <v>71.406009999999995</v>
      </c>
    </row>
    <row r="74" spans="1:3" ht="46.5" customHeight="1" thickBot="1" x14ac:dyDescent="0.3">
      <c r="A74" s="203" t="s">
        <v>112</v>
      </c>
      <c r="B74" s="54" t="s">
        <v>111</v>
      </c>
      <c r="C74" s="215">
        <f>3514887.66/1000</f>
        <v>3514.8876600000003</v>
      </c>
    </row>
    <row r="75" spans="1:3" ht="126.75" hidden="1" thickBot="1" x14ac:dyDescent="0.3">
      <c r="A75" s="201" t="s">
        <v>114</v>
      </c>
      <c r="B75" s="207" t="s">
        <v>113</v>
      </c>
      <c r="C75" s="216">
        <v>3514887.66</v>
      </c>
    </row>
    <row r="76" spans="1:3" ht="142.5" hidden="1" thickBot="1" x14ac:dyDescent="0.3">
      <c r="A76" s="204" t="s">
        <v>116</v>
      </c>
      <c r="B76" s="208" t="s">
        <v>115</v>
      </c>
      <c r="C76" s="217">
        <v>3514887.66</v>
      </c>
    </row>
    <row r="77" spans="1:3" ht="151.5" customHeight="1" thickBot="1" x14ac:dyDescent="0.3">
      <c r="A77" s="210" t="s">
        <v>118</v>
      </c>
      <c r="B77" s="207" t="s">
        <v>117</v>
      </c>
      <c r="C77" s="216">
        <f>3514887.66/1000</f>
        <v>3514.8876600000003</v>
      </c>
    </row>
    <row r="78" spans="1:3" ht="32.25" thickBot="1" x14ac:dyDescent="0.3">
      <c r="A78" s="203" t="s">
        <v>120</v>
      </c>
      <c r="B78" s="54" t="s">
        <v>119</v>
      </c>
      <c r="C78" s="215">
        <f>170000/1000</f>
        <v>170</v>
      </c>
    </row>
    <row r="79" spans="1:3" ht="94.5" hidden="1" x14ac:dyDescent="0.25">
      <c r="A79" s="201" t="s">
        <v>122</v>
      </c>
      <c r="B79" s="139" t="s">
        <v>121</v>
      </c>
      <c r="C79" s="216">
        <v>170000</v>
      </c>
    </row>
    <row r="80" spans="1:3" ht="109.5" customHeight="1" thickBot="1" x14ac:dyDescent="0.3">
      <c r="A80" s="211" t="s">
        <v>124</v>
      </c>
      <c r="B80" s="212" t="s">
        <v>123</v>
      </c>
      <c r="C80" s="220">
        <f>170000/1000</f>
        <v>170</v>
      </c>
    </row>
    <row r="81" spans="1:3" ht="16.5" customHeight="1" thickBot="1" x14ac:dyDescent="0.3">
      <c r="A81" s="203" t="s">
        <v>126</v>
      </c>
      <c r="B81" s="54" t="s">
        <v>125</v>
      </c>
      <c r="C81" s="215">
        <f>22744.8/1000</f>
        <v>22.744799999999998</v>
      </c>
    </row>
    <row r="82" spans="1:3" ht="16.5" hidden="1" thickBot="1" x14ac:dyDescent="0.3">
      <c r="A82" s="201" t="s">
        <v>128</v>
      </c>
      <c r="B82" s="139" t="s">
        <v>127</v>
      </c>
      <c r="C82" s="216">
        <v>22744.799999999999</v>
      </c>
    </row>
    <row r="83" spans="1:3" ht="32.25" thickBot="1" x14ac:dyDescent="0.3">
      <c r="A83" s="204" t="s">
        <v>130</v>
      </c>
      <c r="B83" s="188" t="s">
        <v>129</v>
      </c>
      <c r="C83" s="217">
        <f>22744.8/1000</f>
        <v>22.744799999999998</v>
      </c>
    </row>
    <row r="84" spans="1:3" ht="16.5" thickBot="1" x14ac:dyDescent="0.3">
      <c r="A84" s="203" t="s">
        <v>132</v>
      </c>
      <c r="B84" s="54" t="s">
        <v>131</v>
      </c>
      <c r="C84" s="215">
        <f>22638208/1000</f>
        <v>22638.207999999999</v>
      </c>
    </row>
    <row r="85" spans="1:3" ht="63.75" hidden="1" thickBot="1" x14ac:dyDescent="0.3">
      <c r="A85" s="204" t="s">
        <v>134</v>
      </c>
      <c r="B85" s="188" t="s">
        <v>133</v>
      </c>
      <c r="C85" s="217">
        <v>22638208</v>
      </c>
    </row>
    <row r="86" spans="1:3" ht="31.5" hidden="1" x14ac:dyDescent="0.25">
      <c r="A86" s="205" t="s">
        <v>136</v>
      </c>
      <c r="B86" s="59" t="s">
        <v>135</v>
      </c>
      <c r="C86" s="218">
        <v>18869800</v>
      </c>
    </row>
    <row r="87" spans="1:3" ht="31.5" hidden="1" x14ac:dyDescent="0.25">
      <c r="A87" s="205" t="s">
        <v>138</v>
      </c>
      <c r="B87" s="59" t="s">
        <v>137</v>
      </c>
      <c r="C87" s="218">
        <v>18869800</v>
      </c>
    </row>
    <row r="88" spans="1:3" ht="48" thickBot="1" x14ac:dyDescent="0.3">
      <c r="A88" s="205" t="s">
        <v>140</v>
      </c>
      <c r="B88" s="59" t="s">
        <v>139</v>
      </c>
      <c r="C88" s="218">
        <f>18869800/1000</f>
        <v>18869.8</v>
      </c>
    </row>
    <row r="89" spans="1:3" ht="48" hidden="1" thickBot="1" x14ac:dyDescent="0.3">
      <c r="A89" s="205" t="s">
        <v>142</v>
      </c>
      <c r="B89" s="59" t="s">
        <v>141</v>
      </c>
      <c r="C89" s="218">
        <v>507000</v>
      </c>
    </row>
    <row r="90" spans="1:3" ht="16.5" hidden="1" thickBot="1" x14ac:dyDescent="0.3">
      <c r="A90" s="201" t="s">
        <v>144</v>
      </c>
      <c r="B90" s="139" t="s">
        <v>143</v>
      </c>
      <c r="C90" s="216">
        <v>507000</v>
      </c>
    </row>
    <row r="91" spans="1:3" ht="32.25" thickBot="1" x14ac:dyDescent="0.3">
      <c r="A91" s="204" t="s">
        <v>146</v>
      </c>
      <c r="B91" s="188" t="s">
        <v>145</v>
      </c>
      <c r="C91" s="217">
        <f>507000/1000</f>
        <v>507</v>
      </c>
    </row>
    <row r="92" spans="1:3" ht="31.5" hidden="1" x14ac:dyDescent="0.25">
      <c r="A92" s="205" t="s">
        <v>148</v>
      </c>
      <c r="B92" s="59" t="s">
        <v>147</v>
      </c>
      <c r="C92" s="218">
        <v>1261408</v>
      </c>
    </row>
    <row r="93" spans="1:3" ht="47.25" hidden="1" x14ac:dyDescent="0.25">
      <c r="A93" s="205" t="s">
        <v>150</v>
      </c>
      <c r="B93" s="59" t="s">
        <v>149</v>
      </c>
      <c r="C93" s="218">
        <v>598508</v>
      </c>
    </row>
    <row r="94" spans="1:3" ht="61.5" customHeight="1" thickBot="1" x14ac:dyDescent="0.3">
      <c r="A94" s="205" t="s">
        <v>152</v>
      </c>
      <c r="B94" s="59" t="s">
        <v>151</v>
      </c>
      <c r="C94" s="218">
        <f>598508/1000</f>
        <v>598.50800000000004</v>
      </c>
    </row>
    <row r="95" spans="1:3" ht="63.75" hidden="1" thickBot="1" x14ac:dyDescent="0.3">
      <c r="A95" s="201" t="s">
        <v>154</v>
      </c>
      <c r="B95" s="139" t="s">
        <v>153</v>
      </c>
      <c r="C95" s="216">
        <v>662900</v>
      </c>
    </row>
    <row r="96" spans="1:3" ht="74.25" customHeight="1" thickBot="1" x14ac:dyDescent="0.3">
      <c r="A96" s="204" t="s">
        <v>156</v>
      </c>
      <c r="B96" s="188" t="s">
        <v>155</v>
      </c>
      <c r="C96" s="217">
        <f>662900/1000</f>
        <v>662.9</v>
      </c>
    </row>
    <row r="97" spans="1:3" ht="15.75" hidden="1" x14ac:dyDescent="0.25">
      <c r="A97" s="205" t="s">
        <v>158</v>
      </c>
      <c r="B97" s="59" t="s">
        <v>157</v>
      </c>
      <c r="C97" s="218">
        <v>2000000</v>
      </c>
    </row>
    <row r="98" spans="1:3" ht="94.5" hidden="1" x14ac:dyDescent="0.25">
      <c r="A98" s="205" t="s">
        <v>160</v>
      </c>
      <c r="B98" s="59" t="s">
        <v>159</v>
      </c>
      <c r="C98" s="218">
        <v>2000000</v>
      </c>
    </row>
    <row r="99" spans="1:3" ht="92.25" customHeight="1" thickBot="1" x14ac:dyDescent="0.3">
      <c r="A99" s="201" t="s">
        <v>162</v>
      </c>
      <c r="B99" s="139" t="s">
        <v>161</v>
      </c>
      <c r="C99" s="216">
        <f>2000000/1000</f>
        <v>2000</v>
      </c>
    </row>
    <row r="100" spans="1:3" ht="15" hidden="1" customHeight="1" thickBot="1" x14ac:dyDescent="0.3">
      <c r="A100" s="203" t="s">
        <v>164</v>
      </c>
      <c r="B100" s="54" t="s">
        <v>163</v>
      </c>
      <c r="C100" s="215">
        <v>0</v>
      </c>
    </row>
    <row r="101" spans="1:3" ht="31.5" hidden="1" x14ac:dyDescent="0.25">
      <c r="A101" s="205" t="s">
        <v>166</v>
      </c>
      <c r="B101" s="59" t="s">
        <v>165</v>
      </c>
      <c r="C101" s="218" t="s">
        <v>21</v>
      </c>
    </row>
    <row r="102" spans="1:3" ht="32.25" hidden="1" customHeight="1" thickBot="1" x14ac:dyDescent="0.3">
      <c r="A102" s="213" t="s">
        <v>168</v>
      </c>
      <c r="B102" s="86" t="s">
        <v>167</v>
      </c>
      <c r="C102" s="221">
        <v>0</v>
      </c>
    </row>
    <row r="103" spans="1:3" ht="12.75" customHeight="1" x14ac:dyDescent="0.2">
      <c r="A103" s="172"/>
      <c r="B103" s="173"/>
      <c r="C103" s="222"/>
    </row>
    <row r="104" spans="1:3" ht="12.75" customHeight="1" x14ac:dyDescent="0.2">
      <c r="C104" s="223"/>
    </row>
    <row r="105" spans="1:3" ht="12.75" customHeight="1" x14ac:dyDescent="0.2">
      <c r="C105" s="223"/>
    </row>
    <row r="106" spans="1:3" ht="12.75" customHeight="1" x14ac:dyDescent="0.2">
      <c r="C106" s="223"/>
    </row>
    <row r="107" spans="1:3" ht="12.75" customHeight="1" x14ac:dyDescent="0.2">
      <c r="C107" s="223"/>
    </row>
  </sheetData>
  <mergeCells count="14">
    <mergeCell ref="A6:B6"/>
    <mergeCell ref="A7:C7"/>
    <mergeCell ref="A8:C8"/>
    <mergeCell ref="A9:C9"/>
    <mergeCell ref="B1:C1"/>
    <mergeCell ref="B2:C2"/>
    <mergeCell ref="A3:C3"/>
    <mergeCell ref="A4:C4"/>
    <mergeCell ref="A5:C5"/>
    <mergeCell ref="A22:B22"/>
    <mergeCell ref="C14:C20"/>
    <mergeCell ref="A10:C10"/>
    <mergeCell ref="A11:C11"/>
    <mergeCell ref="A14:B20"/>
  </mergeCells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5"/>
  <sheetViews>
    <sheetView showGridLines="0" workbookViewId="0">
      <selection activeCell="H256" sqref="H256"/>
    </sheetView>
  </sheetViews>
  <sheetFormatPr defaultRowHeight="12.75" customHeight="1" x14ac:dyDescent="0.2"/>
  <cols>
    <col min="1" max="1" width="66.28515625" customWidth="1"/>
    <col min="2" max="2" width="4.28515625" hidden="1" customWidth="1"/>
    <col min="3" max="3" width="13.28515625" customWidth="1"/>
    <col min="4" max="5" width="4.28515625" hidden="1" customWidth="1"/>
    <col min="6" max="6" width="12.5703125" customWidth="1"/>
    <col min="7" max="7" width="30.28515625" hidden="1" customWidth="1"/>
    <col min="8" max="8" width="18.7109375" customWidth="1"/>
    <col min="9" max="9" width="18.7109375" hidden="1" customWidth="1"/>
  </cols>
  <sheetData>
    <row r="1" spans="1:9" ht="12.75" customHeight="1" x14ac:dyDescent="0.25">
      <c r="A1" s="34"/>
      <c r="B1" s="34"/>
      <c r="C1" s="258" t="s">
        <v>651</v>
      </c>
      <c r="D1" s="258"/>
      <c r="E1" s="258"/>
      <c r="F1" s="258"/>
      <c r="G1" s="258"/>
      <c r="H1" s="258"/>
    </row>
    <row r="2" spans="1:9" ht="12.75" customHeight="1" x14ac:dyDescent="0.25">
      <c r="A2" s="36"/>
      <c r="B2" s="36"/>
      <c r="C2" s="258" t="s">
        <v>652</v>
      </c>
      <c r="D2" s="258"/>
      <c r="E2" s="258"/>
      <c r="F2" s="258"/>
      <c r="G2" s="258"/>
      <c r="H2" s="258"/>
    </row>
    <row r="3" spans="1:9" ht="12.75" customHeight="1" x14ac:dyDescent="0.25">
      <c r="A3" s="258" t="s">
        <v>653</v>
      </c>
      <c r="B3" s="258"/>
      <c r="C3" s="258"/>
      <c r="D3" s="258"/>
      <c r="E3" s="258"/>
      <c r="F3" s="258"/>
      <c r="G3" s="258"/>
      <c r="H3" s="258"/>
    </row>
    <row r="4" spans="1:9" ht="12.75" customHeight="1" x14ac:dyDescent="0.25">
      <c r="A4" s="258" t="s">
        <v>654</v>
      </c>
      <c r="B4" s="258"/>
      <c r="C4" s="258"/>
      <c r="D4" s="258"/>
      <c r="E4" s="258"/>
      <c r="F4" s="258"/>
      <c r="G4" s="258"/>
      <c r="H4" s="258"/>
    </row>
    <row r="5" spans="1:9" ht="12.75" customHeight="1" x14ac:dyDescent="0.2">
      <c r="A5" s="255" t="s">
        <v>656</v>
      </c>
      <c r="B5" s="255"/>
      <c r="C5" s="255"/>
      <c r="D5" s="255"/>
      <c r="E5" s="255"/>
      <c r="F5" s="255"/>
      <c r="G5" s="255"/>
      <c r="H5" s="255"/>
    </row>
    <row r="6" spans="1:9" ht="9" customHeight="1" x14ac:dyDescent="0.2"/>
    <row r="7" spans="1:9" ht="15" customHeight="1" x14ac:dyDescent="0.3">
      <c r="A7" s="259" t="s">
        <v>531</v>
      </c>
      <c r="B7" s="259"/>
      <c r="C7" s="259"/>
      <c r="D7" s="259"/>
      <c r="E7" s="259"/>
      <c r="F7" s="259"/>
      <c r="G7" s="259"/>
      <c r="H7" s="259"/>
    </row>
    <row r="8" spans="1:9" ht="17.25" customHeight="1" x14ac:dyDescent="0.3">
      <c r="A8" s="259" t="s">
        <v>532</v>
      </c>
      <c r="B8" s="259"/>
      <c r="C8" s="259"/>
      <c r="D8" s="259"/>
      <c r="E8" s="259"/>
      <c r="F8" s="259"/>
      <c r="G8" s="259"/>
      <c r="H8" s="259"/>
    </row>
    <row r="9" spans="1:9" ht="17.25" customHeight="1" x14ac:dyDescent="0.3">
      <c r="A9" s="259" t="s">
        <v>529</v>
      </c>
      <c r="B9" s="259"/>
      <c r="C9" s="259"/>
      <c r="D9" s="259"/>
      <c r="E9" s="259"/>
      <c r="F9" s="259"/>
      <c r="G9" s="259"/>
      <c r="H9" s="259"/>
    </row>
    <row r="10" spans="1:9" ht="12.75" customHeight="1" x14ac:dyDescent="0.3">
      <c r="A10" s="259" t="s">
        <v>533</v>
      </c>
      <c r="B10" s="259"/>
      <c r="C10" s="259"/>
      <c r="D10" s="259"/>
      <c r="E10" s="259"/>
      <c r="F10" s="259"/>
      <c r="G10" s="259"/>
      <c r="H10" s="259"/>
    </row>
    <row r="11" spans="1:9" ht="15" hidden="1" customHeight="1" x14ac:dyDescent="0.2">
      <c r="A11" s="39"/>
      <c r="B11" s="45"/>
      <c r="C11" s="45"/>
      <c r="D11" s="45"/>
      <c r="E11" s="45"/>
      <c r="F11" s="45"/>
      <c r="G11" s="45"/>
      <c r="H11" s="46"/>
      <c r="I11" s="3" t="s">
        <v>169</v>
      </c>
    </row>
    <row r="12" spans="1:9" ht="13.5" hidden="1" customHeight="1" thickBot="1" x14ac:dyDescent="0.25">
      <c r="A12" s="44"/>
      <c r="B12" s="39"/>
      <c r="C12" s="39"/>
      <c r="D12" s="39"/>
      <c r="E12" s="39"/>
      <c r="F12" s="41"/>
      <c r="G12" s="42"/>
      <c r="H12" s="42"/>
      <c r="I12" s="2"/>
    </row>
    <row r="13" spans="1:9" ht="13.5" customHeight="1" thickBot="1" x14ac:dyDescent="0.3">
      <c r="A13" s="44"/>
      <c r="B13" s="39"/>
      <c r="C13" s="39"/>
      <c r="D13" s="39"/>
      <c r="E13" s="39"/>
      <c r="F13" s="41"/>
      <c r="G13" s="42"/>
      <c r="H13" s="91" t="s">
        <v>537</v>
      </c>
      <c r="I13" s="2"/>
    </row>
    <row r="14" spans="1:9" ht="12" customHeight="1" x14ac:dyDescent="0.2">
      <c r="A14" s="265" t="s">
        <v>553</v>
      </c>
      <c r="B14" s="260"/>
      <c r="C14" s="260" t="s">
        <v>535</v>
      </c>
      <c r="D14" s="47"/>
      <c r="E14" s="47"/>
      <c r="F14" s="263" t="s">
        <v>536</v>
      </c>
      <c r="G14" s="269"/>
      <c r="H14" s="272" t="s">
        <v>5</v>
      </c>
      <c r="I14" s="262"/>
    </row>
    <row r="15" spans="1:9" ht="12" customHeight="1" x14ac:dyDescent="0.2">
      <c r="A15" s="266"/>
      <c r="B15" s="261"/>
      <c r="C15" s="261"/>
      <c r="D15" s="48"/>
      <c r="E15" s="48"/>
      <c r="F15" s="264"/>
      <c r="G15" s="270"/>
      <c r="H15" s="273"/>
      <c r="I15" s="262"/>
    </row>
    <row r="16" spans="1:9" ht="14.25" customHeight="1" thickBot="1" x14ac:dyDescent="0.25">
      <c r="A16" s="266"/>
      <c r="B16" s="261"/>
      <c r="C16" s="261"/>
      <c r="D16" s="48"/>
      <c r="E16" s="48"/>
      <c r="F16" s="264"/>
      <c r="G16" s="270"/>
      <c r="H16" s="273"/>
      <c r="I16" s="262"/>
    </row>
    <row r="17" spans="1:9" ht="4.1500000000000004" hidden="1" customHeight="1" x14ac:dyDescent="0.2">
      <c r="A17" s="266"/>
      <c r="B17" s="261"/>
      <c r="C17" s="48"/>
      <c r="D17" s="48"/>
      <c r="E17" s="48"/>
      <c r="F17" s="49"/>
      <c r="G17" s="270"/>
      <c r="H17" s="50"/>
      <c r="I17" s="26"/>
    </row>
    <row r="18" spans="1:9" ht="13.15" hidden="1" customHeight="1" x14ac:dyDescent="0.2">
      <c r="A18" s="267"/>
      <c r="B18" s="268"/>
      <c r="C18" s="51"/>
      <c r="D18" s="51"/>
      <c r="E18" s="51"/>
      <c r="F18" s="52"/>
      <c r="G18" s="271"/>
      <c r="H18" s="53"/>
      <c r="I18" s="27"/>
    </row>
    <row r="19" spans="1:9" ht="32.25" thickBot="1" x14ac:dyDescent="0.3">
      <c r="A19" s="54" t="s">
        <v>534</v>
      </c>
      <c r="B19" s="55" t="s">
        <v>170</v>
      </c>
      <c r="C19" s="56"/>
      <c r="D19" s="56"/>
      <c r="E19" s="56"/>
      <c r="F19" s="57"/>
      <c r="G19" s="58"/>
      <c r="H19" s="215">
        <f>96704325.36/1000</f>
        <v>96704.325360000003</v>
      </c>
      <c r="I19" s="29" t="str">
        <f>IF(OR(G19="-",IF(H19="-",0,H19)&gt;=IF(G19="-",0,G19)),"-",IF(G19="-",0,G19)-IF(H19="-",0,H19))</f>
        <v>-</v>
      </c>
    </row>
    <row r="20" spans="1:9" ht="24" customHeight="1" thickBot="1" x14ac:dyDescent="0.3">
      <c r="A20" s="54" t="s">
        <v>175</v>
      </c>
      <c r="B20" s="55" t="s">
        <v>170</v>
      </c>
      <c r="C20" s="56" t="s">
        <v>538</v>
      </c>
      <c r="D20" s="56"/>
      <c r="E20" s="56"/>
      <c r="F20" s="57" t="s">
        <v>539</v>
      </c>
      <c r="G20" s="58"/>
      <c r="H20" s="215">
        <f>19186464.91/1000</f>
        <v>19186.464909999999</v>
      </c>
      <c r="I20" s="29" t="str">
        <f t="shared" ref="I20:I81" si="0">IF(OR(G20="-",IF(H20="-",0,H20)&gt;=IF(G20="-",0,G20)),"-",IF(G20="-",0,G20)-IF(H20="-",0,H20))</f>
        <v>-</v>
      </c>
    </row>
    <row r="21" spans="1:9" ht="35.25" customHeight="1" x14ac:dyDescent="0.25">
      <c r="A21" s="59" t="s">
        <v>176</v>
      </c>
      <c r="B21" s="60" t="s">
        <v>170</v>
      </c>
      <c r="C21" s="61" t="s">
        <v>538</v>
      </c>
      <c r="D21" s="61"/>
      <c r="E21" s="61"/>
      <c r="F21" s="62" t="s">
        <v>540</v>
      </c>
      <c r="G21" s="63"/>
      <c r="H21" s="218">
        <f>30370.22/1000</f>
        <v>30.37022</v>
      </c>
      <c r="I21" s="29" t="str">
        <f t="shared" si="0"/>
        <v>-</v>
      </c>
    </row>
    <row r="22" spans="1:9" ht="31.5" hidden="1" x14ac:dyDescent="0.25">
      <c r="A22" s="59" t="s">
        <v>176</v>
      </c>
      <c r="B22" s="60" t="s">
        <v>170</v>
      </c>
      <c r="C22" s="61"/>
      <c r="D22" s="61"/>
      <c r="E22" s="61"/>
      <c r="F22" s="62" t="s">
        <v>177</v>
      </c>
      <c r="G22" s="63"/>
      <c r="H22" s="218">
        <v>30370.22</v>
      </c>
      <c r="I22" s="29" t="str">
        <f t="shared" si="0"/>
        <v>-</v>
      </c>
    </row>
    <row r="23" spans="1:9" ht="20.25" hidden="1" customHeight="1" x14ac:dyDescent="0.25">
      <c r="A23" s="64" t="s">
        <v>178</v>
      </c>
      <c r="B23" s="65" t="s">
        <v>170</v>
      </c>
      <c r="C23" s="66"/>
      <c r="D23" s="66"/>
      <c r="E23" s="66"/>
      <c r="F23" s="67" t="s">
        <v>179</v>
      </c>
      <c r="G23" s="68"/>
      <c r="H23" s="224">
        <v>30370.22</v>
      </c>
      <c r="I23" s="31" t="str">
        <f t="shared" si="0"/>
        <v>-</v>
      </c>
    </row>
    <row r="24" spans="1:9" ht="47.25" hidden="1" x14ac:dyDescent="0.25">
      <c r="A24" s="64" t="s">
        <v>180</v>
      </c>
      <c r="B24" s="65" t="s">
        <v>170</v>
      </c>
      <c r="C24" s="66"/>
      <c r="D24" s="66"/>
      <c r="E24" s="66"/>
      <c r="F24" s="67" t="s">
        <v>181</v>
      </c>
      <c r="G24" s="68"/>
      <c r="H24" s="224">
        <v>30370.22</v>
      </c>
      <c r="I24" s="31" t="str">
        <f t="shared" si="0"/>
        <v>-</v>
      </c>
    </row>
    <row r="25" spans="1:9" ht="31.5" hidden="1" x14ac:dyDescent="0.25">
      <c r="A25" s="64" t="s">
        <v>182</v>
      </c>
      <c r="B25" s="65" t="s">
        <v>170</v>
      </c>
      <c r="C25" s="66"/>
      <c r="D25" s="66"/>
      <c r="E25" s="66"/>
      <c r="F25" s="67" t="s">
        <v>183</v>
      </c>
      <c r="G25" s="68"/>
      <c r="H25" s="224">
        <v>30370.22</v>
      </c>
      <c r="I25" s="31" t="str">
        <f t="shared" si="0"/>
        <v>-</v>
      </c>
    </row>
    <row r="26" spans="1:9" ht="31.5" hidden="1" x14ac:dyDescent="0.25">
      <c r="A26" s="64" t="s">
        <v>184</v>
      </c>
      <c r="B26" s="65" t="s">
        <v>170</v>
      </c>
      <c r="C26" s="66"/>
      <c r="D26" s="66"/>
      <c r="E26" s="66"/>
      <c r="F26" s="67" t="s">
        <v>185</v>
      </c>
      <c r="G26" s="68"/>
      <c r="H26" s="224">
        <v>23030.82</v>
      </c>
      <c r="I26" s="31" t="str">
        <f t="shared" si="0"/>
        <v>-</v>
      </c>
    </row>
    <row r="27" spans="1:9" ht="47.25" hidden="1" x14ac:dyDescent="0.25">
      <c r="A27" s="69" t="s">
        <v>186</v>
      </c>
      <c r="B27" s="65" t="s">
        <v>170</v>
      </c>
      <c r="C27" s="66"/>
      <c r="D27" s="66"/>
      <c r="E27" s="66"/>
      <c r="F27" s="67" t="s">
        <v>187</v>
      </c>
      <c r="G27" s="68"/>
      <c r="H27" s="224">
        <v>7339.4</v>
      </c>
      <c r="I27" s="31" t="str">
        <f t="shared" si="0"/>
        <v>-</v>
      </c>
    </row>
    <row r="28" spans="1:9" ht="48" customHeight="1" x14ac:dyDescent="0.25">
      <c r="A28" s="70" t="s">
        <v>188</v>
      </c>
      <c r="B28" s="60" t="s">
        <v>170</v>
      </c>
      <c r="C28" s="61" t="s">
        <v>538</v>
      </c>
      <c r="D28" s="61"/>
      <c r="E28" s="61"/>
      <c r="F28" s="62" t="s">
        <v>541</v>
      </c>
      <c r="G28" s="63"/>
      <c r="H28" s="218">
        <f>1849996.02/1000</f>
        <v>1849.99602</v>
      </c>
      <c r="I28" s="29" t="str">
        <f t="shared" si="0"/>
        <v>-</v>
      </c>
    </row>
    <row r="29" spans="1:9" ht="47.25" hidden="1" x14ac:dyDescent="0.25">
      <c r="A29" s="59" t="s">
        <v>188</v>
      </c>
      <c r="B29" s="60" t="s">
        <v>170</v>
      </c>
      <c r="C29" s="61"/>
      <c r="D29" s="61"/>
      <c r="E29" s="61"/>
      <c r="F29" s="62" t="s">
        <v>189</v>
      </c>
      <c r="G29" s="63"/>
      <c r="H29" s="218">
        <v>1849996.02</v>
      </c>
      <c r="I29" s="29" t="str">
        <f t="shared" si="0"/>
        <v>-</v>
      </c>
    </row>
    <row r="30" spans="1:9" ht="31.5" hidden="1" x14ac:dyDescent="0.25">
      <c r="A30" s="64" t="s">
        <v>178</v>
      </c>
      <c r="B30" s="65" t="s">
        <v>170</v>
      </c>
      <c r="C30" s="66"/>
      <c r="D30" s="66"/>
      <c r="E30" s="66"/>
      <c r="F30" s="67" t="s">
        <v>190</v>
      </c>
      <c r="G30" s="68"/>
      <c r="H30" s="224">
        <v>1849996.02</v>
      </c>
      <c r="I30" s="31" t="str">
        <f t="shared" si="0"/>
        <v>-</v>
      </c>
    </row>
    <row r="31" spans="1:9" ht="31.5" hidden="1" x14ac:dyDescent="0.25">
      <c r="A31" s="64" t="s">
        <v>191</v>
      </c>
      <c r="B31" s="65" t="s">
        <v>170</v>
      </c>
      <c r="C31" s="66"/>
      <c r="D31" s="66"/>
      <c r="E31" s="66"/>
      <c r="F31" s="67" t="s">
        <v>192</v>
      </c>
      <c r="G31" s="68"/>
      <c r="H31" s="224">
        <v>1849996.02</v>
      </c>
      <c r="I31" s="31" t="str">
        <f t="shared" si="0"/>
        <v>-</v>
      </c>
    </row>
    <row r="32" spans="1:9" ht="31.5" hidden="1" x14ac:dyDescent="0.25">
      <c r="A32" s="64" t="s">
        <v>182</v>
      </c>
      <c r="B32" s="65" t="s">
        <v>170</v>
      </c>
      <c r="C32" s="66"/>
      <c r="D32" s="66"/>
      <c r="E32" s="66"/>
      <c r="F32" s="67" t="s">
        <v>193</v>
      </c>
      <c r="G32" s="68"/>
      <c r="H32" s="224">
        <v>618378.31999999995</v>
      </c>
      <c r="I32" s="31" t="str">
        <f t="shared" si="0"/>
        <v>-</v>
      </c>
    </row>
    <row r="33" spans="1:9" ht="31.5" hidden="1" x14ac:dyDescent="0.25">
      <c r="A33" s="64" t="s">
        <v>184</v>
      </c>
      <c r="B33" s="65" t="s">
        <v>170</v>
      </c>
      <c r="C33" s="66"/>
      <c r="D33" s="66"/>
      <c r="E33" s="66"/>
      <c r="F33" s="67" t="s">
        <v>194</v>
      </c>
      <c r="G33" s="68"/>
      <c r="H33" s="224">
        <v>475872.58</v>
      </c>
      <c r="I33" s="31" t="str">
        <f t="shared" si="0"/>
        <v>-</v>
      </c>
    </row>
    <row r="34" spans="1:9" ht="47.25" hidden="1" x14ac:dyDescent="0.25">
      <c r="A34" s="64" t="s">
        <v>186</v>
      </c>
      <c r="B34" s="65" t="s">
        <v>170</v>
      </c>
      <c r="C34" s="66"/>
      <c r="D34" s="66"/>
      <c r="E34" s="66"/>
      <c r="F34" s="67" t="s">
        <v>195</v>
      </c>
      <c r="G34" s="68"/>
      <c r="H34" s="224">
        <v>142505.74</v>
      </c>
      <c r="I34" s="31" t="str">
        <f t="shared" si="0"/>
        <v>-</v>
      </c>
    </row>
    <row r="35" spans="1:9" ht="31.5" hidden="1" x14ac:dyDescent="0.25">
      <c r="A35" s="64" t="s">
        <v>196</v>
      </c>
      <c r="B35" s="65" t="s">
        <v>170</v>
      </c>
      <c r="C35" s="66"/>
      <c r="D35" s="66"/>
      <c r="E35" s="66"/>
      <c r="F35" s="67" t="s">
        <v>197</v>
      </c>
      <c r="G35" s="68"/>
      <c r="H35" s="224">
        <v>1229617.7</v>
      </c>
      <c r="I35" s="31" t="str">
        <f t="shared" si="0"/>
        <v>-</v>
      </c>
    </row>
    <row r="36" spans="1:9" ht="31.5" hidden="1" x14ac:dyDescent="0.25">
      <c r="A36" s="64" t="s">
        <v>198</v>
      </c>
      <c r="B36" s="65" t="s">
        <v>170</v>
      </c>
      <c r="C36" s="66"/>
      <c r="D36" s="66"/>
      <c r="E36" s="66"/>
      <c r="F36" s="67" t="s">
        <v>199</v>
      </c>
      <c r="G36" s="68"/>
      <c r="H36" s="224">
        <v>6150</v>
      </c>
      <c r="I36" s="31" t="str">
        <f t="shared" si="0"/>
        <v>-</v>
      </c>
    </row>
    <row r="37" spans="1:9" ht="31.5" hidden="1" x14ac:dyDescent="0.25">
      <c r="A37" s="64" t="s">
        <v>200</v>
      </c>
      <c r="B37" s="65" t="s">
        <v>170</v>
      </c>
      <c r="C37" s="66"/>
      <c r="D37" s="66"/>
      <c r="E37" s="66"/>
      <c r="F37" s="67" t="s">
        <v>201</v>
      </c>
      <c r="G37" s="68"/>
      <c r="H37" s="224">
        <v>1223467.7</v>
      </c>
      <c r="I37" s="31" t="str">
        <f t="shared" si="0"/>
        <v>-</v>
      </c>
    </row>
    <row r="38" spans="1:9" ht="31.5" hidden="1" x14ac:dyDescent="0.25">
      <c r="A38" s="64" t="s">
        <v>202</v>
      </c>
      <c r="B38" s="65" t="s">
        <v>170</v>
      </c>
      <c r="C38" s="66"/>
      <c r="D38" s="66"/>
      <c r="E38" s="66"/>
      <c r="F38" s="67" t="s">
        <v>203</v>
      </c>
      <c r="G38" s="68"/>
      <c r="H38" s="224">
        <v>2000</v>
      </c>
      <c r="I38" s="31" t="str">
        <f t="shared" si="0"/>
        <v>-</v>
      </c>
    </row>
    <row r="39" spans="1:9" ht="31.5" hidden="1" x14ac:dyDescent="0.25">
      <c r="A39" s="64" t="s">
        <v>204</v>
      </c>
      <c r="B39" s="65" t="s">
        <v>170</v>
      </c>
      <c r="C39" s="66"/>
      <c r="D39" s="66"/>
      <c r="E39" s="66"/>
      <c r="F39" s="67" t="s">
        <v>205</v>
      </c>
      <c r="G39" s="68"/>
      <c r="H39" s="224" t="s">
        <v>21</v>
      </c>
      <c r="I39" s="31" t="str">
        <f t="shared" si="0"/>
        <v>-</v>
      </c>
    </row>
    <row r="40" spans="1:9" ht="31.5" hidden="1" x14ac:dyDescent="0.25">
      <c r="A40" s="69" t="s">
        <v>206</v>
      </c>
      <c r="B40" s="65" t="s">
        <v>170</v>
      </c>
      <c r="C40" s="66"/>
      <c r="D40" s="66"/>
      <c r="E40" s="66"/>
      <c r="F40" s="67" t="s">
        <v>207</v>
      </c>
      <c r="G40" s="68"/>
      <c r="H40" s="224">
        <v>2000</v>
      </c>
      <c r="I40" s="31" t="str">
        <f t="shared" si="0"/>
        <v>-</v>
      </c>
    </row>
    <row r="41" spans="1:9" ht="47.25" x14ac:dyDescent="0.25">
      <c r="A41" s="70" t="s">
        <v>208</v>
      </c>
      <c r="B41" s="60" t="s">
        <v>170</v>
      </c>
      <c r="C41" s="61" t="s">
        <v>538</v>
      </c>
      <c r="D41" s="61"/>
      <c r="E41" s="61"/>
      <c r="F41" s="62" t="s">
        <v>542</v>
      </c>
      <c r="G41" s="63"/>
      <c r="H41" s="218">
        <f>15557085.71/1000</f>
        <v>15557.085710000001</v>
      </c>
      <c r="I41" s="29" t="str">
        <f t="shared" si="0"/>
        <v>-</v>
      </c>
    </row>
    <row r="42" spans="1:9" ht="47.25" hidden="1" x14ac:dyDescent="0.25">
      <c r="A42" s="59" t="s">
        <v>208</v>
      </c>
      <c r="B42" s="60" t="s">
        <v>170</v>
      </c>
      <c r="C42" s="61"/>
      <c r="D42" s="61"/>
      <c r="E42" s="61"/>
      <c r="F42" s="62" t="s">
        <v>209</v>
      </c>
      <c r="G42" s="63"/>
      <c r="H42" s="218">
        <v>15557085.710000001</v>
      </c>
      <c r="I42" s="29" t="str">
        <f t="shared" si="0"/>
        <v>-</v>
      </c>
    </row>
    <row r="43" spans="1:9" ht="31.5" hidden="1" x14ac:dyDescent="0.25">
      <c r="A43" s="64" t="s">
        <v>178</v>
      </c>
      <c r="B43" s="65" t="s">
        <v>170</v>
      </c>
      <c r="C43" s="66"/>
      <c r="D43" s="66"/>
      <c r="E43" s="66"/>
      <c r="F43" s="67" t="s">
        <v>210</v>
      </c>
      <c r="G43" s="68"/>
      <c r="H43" s="224">
        <v>14241015.59</v>
      </c>
      <c r="I43" s="31" t="str">
        <f t="shared" si="0"/>
        <v>-</v>
      </c>
    </row>
    <row r="44" spans="1:9" ht="31.5" hidden="1" x14ac:dyDescent="0.25">
      <c r="A44" s="64" t="s">
        <v>191</v>
      </c>
      <c r="B44" s="65" t="s">
        <v>170</v>
      </c>
      <c r="C44" s="66"/>
      <c r="D44" s="66"/>
      <c r="E44" s="66"/>
      <c r="F44" s="67" t="s">
        <v>211</v>
      </c>
      <c r="G44" s="68"/>
      <c r="H44" s="224">
        <v>13662765.59</v>
      </c>
      <c r="I44" s="31" t="str">
        <f t="shared" si="0"/>
        <v>-</v>
      </c>
    </row>
    <row r="45" spans="1:9" ht="31.5" hidden="1" x14ac:dyDescent="0.25">
      <c r="A45" s="64" t="s">
        <v>182</v>
      </c>
      <c r="B45" s="65" t="s">
        <v>170</v>
      </c>
      <c r="C45" s="66"/>
      <c r="D45" s="66"/>
      <c r="E45" s="66"/>
      <c r="F45" s="67" t="s">
        <v>212</v>
      </c>
      <c r="G45" s="68"/>
      <c r="H45" s="224">
        <v>7553024.4699999997</v>
      </c>
      <c r="I45" s="31" t="str">
        <f t="shared" si="0"/>
        <v>-</v>
      </c>
    </row>
    <row r="46" spans="1:9" ht="31.5" hidden="1" x14ac:dyDescent="0.25">
      <c r="A46" s="64" t="s">
        <v>184</v>
      </c>
      <c r="B46" s="65" t="s">
        <v>170</v>
      </c>
      <c r="C46" s="66"/>
      <c r="D46" s="66"/>
      <c r="E46" s="66"/>
      <c r="F46" s="67" t="s">
        <v>213</v>
      </c>
      <c r="G46" s="68"/>
      <c r="H46" s="224">
        <v>5799119.4299999997</v>
      </c>
      <c r="I46" s="31" t="str">
        <f t="shared" si="0"/>
        <v>-</v>
      </c>
    </row>
    <row r="47" spans="1:9" ht="31.5" hidden="1" x14ac:dyDescent="0.25">
      <c r="A47" s="64" t="s">
        <v>214</v>
      </c>
      <c r="B47" s="65" t="s">
        <v>170</v>
      </c>
      <c r="C47" s="66"/>
      <c r="D47" s="66"/>
      <c r="E47" s="66"/>
      <c r="F47" s="67" t="s">
        <v>215</v>
      </c>
      <c r="G47" s="68"/>
      <c r="H47" s="224">
        <v>143.55000000000001</v>
      </c>
      <c r="I47" s="31" t="str">
        <f t="shared" si="0"/>
        <v>-</v>
      </c>
    </row>
    <row r="48" spans="1:9" ht="47.25" hidden="1" x14ac:dyDescent="0.25">
      <c r="A48" s="64" t="s">
        <v>186</v>
      </c>
      <c r="B48" s="65" t="s">
        <v>170</v>
      </c>
      <c r="C48" s="66"/>
      <c r="D48" s="66"/>
      <c r="E48" s="66"/>
      <c r="F48" s="67" t="s">
        <v>216</v>
      </c>
      <c r="G48" s="68"/>
      <c r="H48" s="224">
        <v>1753761.49</v>
      </c>
      <c r="I48" s="31" t="str">
        <f t="shared" si="0"/>
        <v>-</v>
      </c>
    </row>
    <row r="49" spans="1:9" ht="31.5" hidden="1" x14ac:dyDescent="0.25">
      <c r="A49" s="64" t="s">
        <v>196</v>
      </c>
      <c r="B49" s="65" t="s">
        <v>170</v>
      </c>
      <c r="C49" s="66"/>
      <c r="D49" s="66"/>
      <c r="E49" s="66"/>
      <c r="F49" s="67" t="s">
        <v>217</v>
      </c>
      <c r="G49" s="68"/>
      <c r="H49" s="224">
        <v>6109741.1200000001</v>
      </c>
      <c r="I49" s="31" t="str">
        <f t="shared" si="0"/>
        <v>-</v>
      </c>
    </row>
    <row r="50" spans="1:9" ht="31.5" hidden="1" x14ac:dyDescent="0.25">
      <c r="A50" s="64" t="s">
        <v>198</v>
      </c>
      <c r="B50" s="65" t="s">
        <v>170</v>
      </c>
      <c r="C50" s="66"/>
      <c r="D50" s="66"/>
      <c r="E50" s="66"/>
      <c r="F50" s="67" t="s">
        <v>218</v>
      </c>
      <c r="G50" s="68"/>
      <c r="H50" s="224">
        <v>666789.56000000006</v>
      </c>
      <c r="I50" s="31" t="str">
        <f t="shared" si="0"/>
        <v>-</v>
      </c>
    </row>
    <row r="51" spans="1:9" ht="31.5" hidden="1" x14ac:dyDescent="0.25">
      <c r="A51" s="64" t="s">
        <v>200</v>
      </c>
      <c r="B51" s="65" t="s">
        <v>170</v>
      </c>
      <c r="C51" s="66"/>
      <c r="D51" s="66"/>
      <c r="E51" s="66"/>
      <c r="F51" s="67" t="s">
        <v>219</v>
      </c>
      <c r="G51" s="68"/>
      <c r="H51" s="224">
        <v>5442951.5599999996</v>
      </c>
      <c r="I51" s="31" t="str">
        <f t="shared" si="0"/>
        <v>-</v>
      </c>
    </row>
    <row r="52" spans="1:9" ht="47.25" hidden="1" x14ac:dyDescent="0.25">
      <c r="A52" s="64" t="s">
        <v>220</v>
      </c>
      <c r="B52" s="65" t="s">
        <v>170</v>
      </c>
      <c r="C52" s="66"/>
      <c r="D52" s="66"/>
      <c r="E52" s="66"/>
      <c r="F52" s="67" t="s">
        <v>221</v>
      </c>
      <c r="G52" s="68"/>
      <c r="H52" s="224">
        <v>321300</v>
      </c>
      <c r="I52" s="31" t="str">
        <f t="shared" si="0"/>
        <v>-</v>
      </c>
    </row>
    <row r="53" spans="1:9" ht="31.5" hidden="1" x14ac:dyDescent="0.25">
      <c r="A53" s="64" t="s">
        <v>157</v>
      </c>
      <c r="B53" s="65" t="s">
        <v>170</v>
      </c>
      <c r="C53" s="66"/>
      <c r="D53" s="66"/>
      <c r="E53" s="66"/>
      <c r="F53" s="67" t="s">
        <v>222</v>
      </c>
      <c r="G53" s="68"/>
      <c r="H53" s="224">
        <v>321300</v>
      </c>
      <c r="I53" s="31" t="str">
        <f t="shared" si="0"/>
        <v>-</v>
      </c>
    </row>
    <row r="54" spans="1:9" ht="78.75" hidden="1" x14ac:dyDescent="0.25">
      <c r="A54" s="64" t="s">
        <v>223</v>
      </c>
      <c r="B54" s="65" t="s">
        <v>170</v>
      </c>
      <c r="C54" s="66"/>
      <c r="D54" s="66"/>
      <c r="E54" s="66"/>
      <c r="F54" s="67" t="s">
        <v>224</v>
      </c>
      <c r="G54" s="68"/>
      <c r="H54" s="224">
        <v>213000</v>
      </c>
      <c r="I54" s="31" t="str">
        <f t="shared" si="0"/>
        <v>-</v>
      </c>
    </row>
    <row r="55" spans="1:9" ht="31.5" hidden="1" x14ac:dyDescent="0.25">
      <c r="A55" s="64" t="s">
        <v>157</v>
      </c>
      <c r="B55" s="65" t="s">
        <v>170</v>
      </c>
      <c r="C55" s="66"/>
      <c r="D55" s="66"/>
      <c r="E55" s="66"/>
      <c r="F55" s="67" t="s">
        <v>225</v>
      </c>
      <c r="G55" s="68"/>
      <c r="H55" s="224">
        <v>213000</v>
      </c>
      <c r="I55" s="31" t="str">
        <f t="shared" si="0"/>
        <v>-</v>
      </c>
    </row>
    <row r="56" spans="1:9" ht="47.25" hidden="1" x14ac:dyDescent="0.25">
      <c r="A56" s="64" t="s">
        <v>226</v>
      </c>
      <c r="B56" s="65" t="s">
        <v>170</v>
      </c>
      <c r="C56" s="66"/>
      <c r="D56" s="66"/>
      <c r="E56" s="66"/>
      <c r="F56" s="67" t="s">
        <v>227</v>
      </c>
      <c r="G56" s="68"/>
      <c r="H56" s="224">
        <v>43950</v>
      </c>
      <c r="I56" s="31" t="str">
        <f t="shared" si="0"/>
        <v>-</v>
      </c>
    </row>
    <row r="57" spans="1:9" ht="31.5" hidden="1" x14ac:dyDescent="0.25">
      <c r="A57" s="64" t="s">
        <v>157</v>
      </c>
      <c r="B57" s="65" t="s">
        <v>170</v>
      </c>
      <c r="C57" s="66"/>
      <c r="D57" s="66"/>
      <c r="E57" s="66"/>
      <c r="F57" s="67" t="s">
        <v>228</v>
      </c>
      <c r="G57" s="68"/>
      <c r="H57" s="224">
        <v>43950</v>
      </c>
      <c r="I57" s="31" t="str">
        <f t="shared" si="0"/>
        <v>-</v>
      </c>
    </row>
    <row r="58" spans="1:9" ht="31.5" hidden="1" x14ac:dyDescent="0.25">
      <c r="A58" s="64" t="s">
        <v>178</v>
      </c>
      <c r="B58" s="65" t="s">
        <v>170</v>
      </c>
      <c r="C58" s="66"/>
      <c r="D58" s="66"/>
      <c r="E58" s="66"/>
      <c r="F58" s="67" t="s">
        <v>229</v>
      </c>
      <c r="G58" s="68"/>
      <c r="H58" s="224">
        <v>1316070.1200000001</v>
      </c>
      <c r="I58" s="31" t="str">
        <f t="shared" si="0"/>
        <v>-</v>
      </c>
    </row>
    <row r="59" spans="1:9" ht="47.25" hidden="1" x14ac:dyDescent="0.25">
      <c r="A59" s="64" t="s">
        <v>230</v>
      </c>
      <c r="B59" s="65" t="s">
        <v>170</v>
      </c>
      <c r="C59" s="66"/>
      <c r="D59" s="66"/>
      <c r="E59" s="66"/>
      <c r="F59" s="67" t="s">
        <v>231</v>
      </c>
      <c r="G59" s="68"/>
      <c r="H59" s="224">
        <v>1316070.1200000001</v>
      </c>
      <c r="I59" s="31" t="str">
        <f t="shared" si="0"/>
        <v>-</v>
      </c>
    </row>
    <row r="60" spans="1:9" ht="31.5" hidden="1" x14ac:dyDescent="0.25">
      <c r="A60" s="64" t="s">
        <v>182</v>
      </c>
      <c r="B60" s="65" t="s">
        <v>170</v>
      </c>
      <c r="C60" s="66"/>
      <c r="D60" s="66"/>
      <c r="E60" s="66"/>
      <c r="F60" s="67" t="s">
        <v>232</v>
      </c>
      <c r="G60" s="68"/>
      <c r="H60" s="224">
        <v>1316070.1200000001</v>
      </c>
      <c r="I60" s="31" t="str">
        <f t="shared" si="0"/>
        <v>-</v>
      </c>
    </row>
    <row r="61" spans="1:9" ht="31.5" hidden="1" x14ac:dyDescent="0.25">
      <c r="A61" s="64" t="s">
        <v>184</v>
      </c>
      <c r="B61" s="65" t="s">
        <v>170</v>
      </c>
      <c r="C61" s="66"/>
      <c r="D61" s="66"/>
      <c r="E61" s="66"/>
      <c r="F61" s="67" t="s">
        <v>233</v>
      </c>
      <c r="G61" s="68"/>
      <c r="H61" s="224">
        <v>1037709.22</v>
      </c>
      <c r="I61" s="31" t="str">
        <f t="shared" si="0"/>
        <v>-</v>
      </c>
    </row>
    <row r="62" spans="1:9" ht="47.25" hidden="1" x14ac:dyDescent="0.25">
      <c r="A62" s="64" t="s">
        <v>186</v>
      </c>
      <c r="B62" s="65" t="s">
        <v>170</v>
      </c>
      <c r="C62" s="66"/>
      <c r="D62" s="66"/>
      <c r="E62" s="66"/>
      <c r="F62" s="67" t="s">
        <v>234</v>
      </c>
      <c r="G62" s="68"/>
      <c r="H62" s="224">
        <v>278360.90000000002</v>
      </c>
      <c r="I62" s="31" t="str">
        <f t="shared" si="0"/>
        <v>-</v>
      </c>
    </row>
    <row r="63" spans="1:9" ht="47.25" x14ac:dyDescent="0.25">
      <c r="A63" s="59" t="s">
        <v>235</v>
      </c>
      <c r="B63" s="60" t="s">
        <v>170</v>
      </c>
      <c r="C63" s="61" t="s">
        <v>538</v>
      </c>
      <c r="D63" s="61"/>
      <c r="E63" s="61"/>
      <c r="F63" s="62" t="s">
        <v>543</v>
      </c>
      <c r="G63" s="63"/>
      <c r="H63" s="218">
        <f>199492/1000</f>
        <v>199.49199999999999</v>
      </c>
      <c r="I63" s="29" t="str">
        <f t="shared" si="0"/>
        <v>-</v>
      </c>
    </row>
    <row r="64" spans="1:9" ht="47.25" hidden="1" x14ac:dyDescent="0.25">
      <c r="A64" s="59" t="s">
        <v>235</v>
      </c>
      <c r="B64" s="60" t="s">
        <v>170</v>
      </c>
      <c r="C64" s="61"/>
      <c r="D64" s="61"/>
      <c r="E64" s="61"/>
      <c r="F64" s="62" t="s">
        <v>236</v>
      </c>
      <c r="G64" s="63"/>
      <c r="H64" s="218">
        <v>199492</v>
      </c>
      <c r="I64" s="29" t="str">
        <f t="shared" si="0"/>
        <v>-</v>
      </c>
    </row>
    <row r="65" spans="1:9" ht="31.5" hidden="1" x14ac:dyDescent="0.25">
      <c r="A65" s="64" t="s">
        <v>178</v>
      </c>
      <c r="B65" s="65" t="s">
        <v>170</v>
      </c>
      <c r="C65" s="66"/>
      <c r="D65" s="66"/>
      <c r="E65" s="66"/>
      <c r="F65" s="67" t="s">
        <v>237</v>
      </c>
      <c r="G65" s="68"/>
      <c r="H65" s="224">
        <v>199492</v>
      </c>
      <c r="I65" s="31" t="str">
        <f t="shared" si="0"/>
        <v>-</v>
      </c>
    </row>
    <row r="66" spans="1:9" ht="47.25" hidden="1" x14ac:dyDescent="0.25">
      <c r="A66" s="64" t="s">
        <v>238</v>
      </c>
      <c r="B66" s="65" t="s">
        <v>170</v>
      </c>
      <c r="C66" s="66"/>
      <c r="D66" s="66"/>
      <c r="E66" s="66"/>
      <c r="F66" s="67" t="s">
        <v>239</v>
      </c>
      <c r="G66" s="68"/>
      <c r="H66" s="224">
        <v>199492</v>
      </c>
      <c r="I66" s="31" t="str">
        <f t="shared" si="0"/>
        <v>-</v>
      </c>
    </row>
    <row r="67" spans="1:9" ht="31.5" hidden="1" x14ac:dyDescent="0.25">
      <c r="A67" s="69" t="s">
        <v>157</v>
      </c>
      <c r="B67" s="65" t="s">
        <v>170</v>
      </c>
      <c r="C67" s="66"/>
      <c r="D67" s="66"/>
      <c r="E67" s="66"/>
      <c r="F67" s="67" t="s">
        <v>240</v>
      </c>
      <c r="G67" s="68"/>
      <c r="H67" s="224">
        <v>199492</v>
      </c>
      <c r="I67" s="31" t="str">
        <f t="shared" si="0"/>
        <v>-</v>
      </c>
    </row>
    <row r="68" spans="1:9" ht="24.75" customHeight="1" thickBot="1" x14ac:dyDescent="0.3">
      <c r="A68" s="70" t="s">
        <v>241</v>
      </c>
      <c r="B68" s="60" t="s">
        <v>170</v>
      </c>
      <c r="C68" s="61" t="s">
        <v>538</v>
      </c>
      <c r="D68" s="61"/>
      <c r="E68" s="61"/>
      <c r="F68" s="62" t="s">
        <v>544</v>
      </c>
      <c r="G68" s="63"/>
      <c r="H68" s="218">
        <f>777586.1/1000</f>
        <v>777.58609999999999</v>
      </c>
      <c r="I68" s="29" t="str">
        <f t="shared" si="0"/>
        <v>-</v>
      </c>
    </row>
    <row r="69" spans="1:9" ht="31.5" hidden="1" x14ac:dyDescent="0.25">
      <c r="A69" s="59" t="s">
        <v>241</v>
      </c>
      <c r="B69" s="60" t="s">
        <v>170</v>
      </c>
      <c r="C69" s="61"/>
      <c r="D69" s="61"/>
      <c r="E69" s="61"/>
      <c r="F69" s="62" t="s">
        <v>242</v>
      </c>
      <c r="G69" s="63"/>
      <c r="H69" s="218">
        <v>777586.1</v>
      </c>
      <c r="I69" s="29" t="str">
        <f t="shared" si="0"/>
        <v>-</v>
      </c>
    </row>
    <row r="70" spans="1:9" ht="31.5" hidden="1" x14ac:dyDescent="0.25">
      <c r="A70" s="64" t="s">
        <v>178</v>
      </c>
      <c r="B70" s="65" t="s">
        <v>170</v>
      </c>
      <c r="C70" s="66"/>
      <c r="D70" s="66"/>
      <c r="E70" s="66"/>
      <c r="F70" s="67" t="s">
        <v>243</v>
      </c>
      <c r="G70" s="68"/>
      <c r="H70" s="224">
        <v>777586.1</v>
      </c>
      <c r="I70" s="31" t="str">
        <f t="shared" si="0"/>
        <v>-</v>
      </c>
    </row>
    <row r="71" spans="1:9" ht="47.25" hidden="1" x14ac:dyDescent="0.25">
      <c r="A71" s="64" t="s">
        <v>244</v>
      </c>
      <c r="B71" s="65" t="s">
        <v>170</v>
      </c>
      <c r="C71" s="66"/>
      <c r="D71" s="66"/>
      <c r="E71" s="66"/>
      <c r="F71" s="67" t="s">
        <v>245</v>
      </c>
      <c r="G71" s="68"/>
      <c r="H71" s="224">
        <v>777586.1</v>
      </c>
      <c r="I71" s="31" t="str">
        <f t="shared" si="0"/>
        <v>-</v>
      </c>
    </row>
    <row r="72" spans="1:9" ht="31.5" hidden="1" x14ac:dyDescent="0.25">
      <c r="A72" s="64" t="s">
        <v>196</v>
      </c>
      <c r="B72" s="65" t="s">
        <v>170</v>
      </c>
      <c r="C72" s="66"/>
      <c r="D72" s="66"/>
      <c r="E72" s="66"/>
      <c r="F72" s="67" t="s">
        <v>246</v>
      </c>
      <c r="G72" s="68"/>
      <c r="H72" s="224">
        <v>777586.1</v>
      </c>
      <c r="I72" s="31" t="str">
        <f t="shared" si="0"/>
        <v>-</v>
      </c>
    </row>
    <row r="73" spans="1:9" ht="31.5" hidden="1" x14ac:dyDescent="0.25">
      <c r="A73" s="64" t="s">
        <v>200</v>
      </c>
      <c r="B73" s="65" t="s">
        <v>170</v>
      </c>
      <c r="C73" s="66"/>
      <c r="D73" s="66"/>
      <c r="E73" s="66"/>
      <c r="F73" s="67" t="s">
        <v>247</v>
      </c>
      <c r="G73" s="68"/>
      <c r="H73" s="224">
        <v>777586.1</v>
      </c>
      <c r="I73" s="31" t="str">
        <f t="shared" si="0"/>
        <v>-</v>
      </c>
    </row>
    <row r="74" spans="1:9" ht="31.5" hidden="1" x14ac:dyDescent="0.25">
      <c r="A74" s="59" t="s">
        <v>248</v>
      </c>
      <c r="B74" s="60" t="s">
        <v>170</v>
      </c>
      <c r="C74" s="61"/>
      <c r="D74" s="61"/>
      <c r="E74" s="61"/>
      <c r="F74" s="62" t="s">
        <v>249</v>
      </c>
      <c r="G74" s="63"/>
      <c r="H74" s="218" t="s">
        <v>21</v>
      </c>
      <c r="I74" s="29" t="str">
        <f t="shared" si="0"/>
        <v>-</v>
      </c>
    </row>
    <row r="75" spans="1:9" ht="31.5" hidden="1" x14ac:dyDescent="0.25">
      <c r="A75" s="59" t="s">
        <v>248</v>
      </c>
      <c r="B75" s="60" t="s">
        <v>170</v>
      </c>
      <c r="C75" s="61"/>
      <c r="D75" s="61"/>
      <c r="E75" s="61"/>
      <c r="F75" s="62" t="s">
        <v>250</v>
      </c>
      <c r="G75" s="63"/>
      <c r="H75" s="218" t="s">
        <v>21</v>
      </c>
      <c r="I75" s="29" t="str">
        <f t="shared" si="0"/>
        <v>-</v>
      </c>
    </row>
    <row r="76" spans="1:9" ht="31.5" hidden="1" x14ac:dyDescent="0.25">
      <c r="A76" s="64" t="s">
        <v>178</v>
      </c>
      <c r="B76" s="65" t="s">
        <v>170</v>
      </c>
      <c r="C76" s="66"/>
      <c r="D76" s="66"/>
      <c r="E76" s="66"/>
      <c r="F76" s="67" t="s">
        <v>251</v>
      </c>
      <c r="G76" s="68"/>
      <c r="H76" s="224" t="s">
        <v>21</v>
      </c>
      <c r="I76" s="31" t="str">
        <f t="shared" si="0"/>
        <v>-</v>
      </c>
    </row>
    <row r="77" spans="1:9" ht="47.25" hidden="1" x14ac:dyDescent="0.25">
      <c r="A77" s="64" t="s">
        <v>252</v>
      </c>
      <c r="B77" s="65" t="s">
        <v>170</v>
      </c>
      <c r="C77" s="66"/>
      <c r="D77" s="66"/>
      <c r="E77" s="66"/>
      <c r="F77" s="67" t="s">
        <v>253</v>
      </c>
      <c r="G77" s="68"/>
      <c r="H77" s="224" t="s">
        <v>21</v>
      </c>
      <c r="I77" s="31" t="str">
        <f t="shared" si="0"/>
        <v>-</v>
      </c>
    </row>
    <row r="78" spans="1:9" ht="31.5" hidden="1" x14ac:dyDescent="0.25">
      <c r="A78" s="69" t="s">
        <v>254</v>
      </c>
      <c r="B78" s="71" t="s">
        <v>170</v>
      </c>
      <c r="C78" s="72"/>
      <c r="D78" s="72"/>
      <c r="E78" s="72"/>
      <c r="F78" s="73" t="s">
        <v>255</v>
      </c>
      <c r="G78" s="74"/>
      <c r="H78" s="225" t="s">
        <v>21</v>
      </c>
      <c r="I78" s="31" t="str">
        <f t="shared" si="0"/>
        <v>-</v>
      </c>
    </row>
    <row r="79" spans="1:9" ht="24" customHeight="1" thickBot="1" x14ac:dyDescent="0.3">
      <c r="A79" s="75" t="s">
        <v>256</v>
      </c>
      <c r="B79" s="76" t="s">
        <v>170</v>
      </c>
      <c r="C79" s="77" t="s">
        <v>538</v>
      </c>
      <c r="D79" s="77"/>
      <c r="E79" s="77"/>
      <c r="F79" s="78" t="s">
        <v>545</v>
      </c>
      <c r="G79" s="79"/>
      <c r="H79" s="226">
        <f>771934.86/1000</f>
        <v>771.93485999999996</v>
      </c>
      <c r="I79" s="29" t="str">
        <f t="shared" si="0"/>
        <v>-</v>
      </c>
    </row>
    <row r="80" spans="1:9" ht="32.25" hidden="1" thickBot="1" x14ac:dyDescent="0.3">
      <c r="A80" s="80" t="s">
        <v>256</v>
      </c>
      <c r="B80" s="81" t="s">
        <v>170</v>
      </c>
      <c r="C80" s="82"/>
      <c r="D80" s="82"/>
      <c r="E80" s="82"/>
      <c r="F80" s="83" t="s">
        <v>257</v>
      </c>
      <c r="G80" s="84"/>
      <c r="H80" s="227">
        <v>771934.86</v>
      </c>
      <c r="I80" s="29" t="str">
        <f t="shared" si="0"/>
        <v>-</v>
      </c>
    </row>
    <row r="81" spans="1:9" ht="32.25" hidden="1" thickBot="1" x14ac:dyDescent="0.3">
      <c r="A81" s="64" t="s">
        <v>178</v>
      </c>
      <c r="B81" s="65" t="s">
        <v>170</v>
      </c>
      <c r="C81" s="66"/>
      <c r="D81" s="66"/>
      <c r="E81" s="66"/>
      <c r="F81" s="67" t="s">
        <v>258</v>
      </c>
      <c r="G81" s="68"/>
      <c r="H81" s="224">
        <v>771934.86</v>
      </c>
      <c r="I81" s="31" t="str">
        <f t="shared" si="0"/>
        <v>-</v>
      </c>
    </row>
    <row r="82" spans="1:9" ht="32.25" hidden="1" thickBot="1" x14ac:dyDescent="0.3">
      <c r="A82" s="64" t="s">
        <v>259</v>
      </c>
      <c r="B82" s="65" t="s">
        <v>170</v>
      </c>
      <c r="C82" s="66"/>
      <c r="D82" s="66"/>
      <c r="E82" s="66"/>
      <c r="F82" s="67" t="s">
        <v>260</v>
      </c>
      <c r="G82" s="68"/>
      <c r="H82" s="224">
        <v>771934.86</v>
      </c>
      <c r="I82" s="31" t="str">
        <f t="shared" ref="I82:I145" si="1">IF(OR(G82="-",IF(H82="-",0,H82)&gt;=IF(G82="-",0,G82)),"-",IF(G82="-",0,G82)-IF(H82="-",0,H82))</f>
        <v>-</v>
      </c>
    </row>
    <row r="83" spans="1:9" ht="32.25" hidden="1" thickBot="1" x14ac:dyDescent="0.3">
      <c r="A83" s="64" t="s">
        <v>196</v>
      </c>
      <c r="B83" s="65" t="s">
        <v>170</v>
      </c>
      <c r="C83" s="66"/>
      <c r="D83" s="66"/>
      <c r="E83" s="66"/>
      <c r="F83" s="67" t="s">
        <v>261</v>
      </c>
      <c r="G83" s="68"/>
      <c r="H83" s="224">
        <v>651858</v>
      </c>
      <c r="I83" s="31" t="str">
        <f t="shared" si="1"/>
        <v>-</v>
      </c>
    </row>
    <row r="84" spans="1:9" ht="32.25" hidden="1" thickBot="1" x14ac:dyDescent="0.3">
      <c r="A84" s="64" t="s">
        <v>200</v>
      </c>
      <c r="B84" s="65" t="s">
        <v>170</v>
      </c>
      <c r="C84" s="66"/>
      <c r="D84" s="66"/>
      <c r="E84" s="66"/>
      <c r="F84" s="67" t="s">
        <v>262</v>
      </c>
      <c r="G84" s="68"/>
      <c r="H84" s="224">
        <v>651858</v>
      </c>
      <c r="I84" s="31" t="str">
        <f t="shared" si="1"/>
        <v>-</v>
      </c>
    </row>
    <row r="85" spans="1:9" ht="32.25" hidden="1" thickBot="1" x14ac:dyDescent="0.3">
      <c r="A85" s="64" t="s">
        <v>263</v>
      </c>
      <c r="B85" s="65" t="s">
        <v>170</v>
      </c>
      <c r="C85" s="66"/>
      <c r="D85" s="66"/>
      <c r="E85" s="66"/>
      <c r="F85" s="67" t="s">
        <v>264</v>
      </c>
      <c r="G85" s="68"/>
      <c r="H85" s="224">
        <v>75346.460000000006</v>
      </c>
      <c r="I85" s="31" t="str">
        <f t="shared" si="1"/>
        <v>-</v>
      </c>
    </row>
    <row r="86" spans="1:9" ht="32.25" hidden="1" thickBot="1" x14ac:dyDescent="0.3">
      <c r="A86" s="64" t="s">
        <v>265</v>
      </c>
      <c r="B86" s="65" t="s">
        <v>170</v>
      </c>
      <c r="C86" s="66"/>
      <c r="D86" s="66"/>
      <c r="E86" s="66"/>
      <c r="F86" s="67" t="s">
        <v>266</v>
      </c>
      <c r="G86" s="68"/>
      <c r="H86" s="224">
        <v>75346.460000000006</v>
      </c>
      <c r="I86" s="31" t="str">
        <f t="shared" si="1"/>
        <v>-</v>
      </c>
    </row>
    <row r="87" spans="1:9" ht="32.25" hidden="1" thickBot="1" x14ac:dyDescent="0.3">
      <c r="A87" s="64" t="s">
        <v>202</v>
      </c>
      <c r="B87" s="65" t="s">
        <v>170</v>
      </c>
      <c r="C87" s="66"/>
      <c r="D87" s="66"/>
      <c r="E87" s="66"/>
      <c r="F87" s="67" t="s">
        <v>267</v>
      </c>
      <c r="G87" s="68"/>
      <c r="H87" s="224">
        <v>44730.400000000001</v>
      </c>
      <c r="I87" s="31" t="str">
        <f t="shared" si="1"/>
        <v>-</v>
      </c>
    </row>
    <row r="88" spans="1:9" ht="32.25" hidden="1" thickBot="1" x14ac:dyDescent="0.3">
      <c r="A88" s="64" t="s">
        <v>204</v>
      </c>
      <c r="B88" s="65" t="s">
        <v>170</v>
      </c>
      <c r="C88" s="66"/>
      <c r="D88" s="66"/>
      <c r="E88" s="66"/>
      <c r="F88" s="67" t="s">
        <v>268</v>
      </c>
      <c r="G88" s="68"/>
      <c r="H88" s="224" t="s">
        <v>21</v>
      </c>
      <c r="I88" s="31" t="str">
        <f t="shared" si="1"/>
        <v>-</v>
      </c>
    </row>
    <row r="89" spans="1:9" ht="32.25" hidden="1" thickBot="1" x14ac:dyDescent="0.3">
      <c r="A89" s="69" t="s">
        <v>206</v>
      </c>
      <c r="B89" s="71" t="s">
        <v>170</v>
      </c>
      <c r="C89" s="72"/>
      <c r="D89" s="72"/>
      <c r="E89" s="72"/>
      <c r="F89" s="73" t="s">
        <v>269</v>
      </c>
      <c r="G89" s="74"/>
      <c r="H89" s="225">
        <v>44730.400000000001</v>
      </c>
      <c r="I89" s="31" t="str">
        <f t="shared" si="1"/>
        <v>-</v>
      </c>
    </row>
    <row r="90" spans="1:9" ht="22.5" customHeight="1" thickBot="1" x14ac:dyDescent="0.3">
      <c r="A90" s="54" t="s">
        <v>270</v>
      </c>
      <c r="B90" s="55" t="s">
        <v>170</v>
      </c>
      <c r="C90" s="56" t="s">
        <v>540</v>
      </c>
      <c r="D90" s="56"/>
      <c r="E90" s="56"/>
      <c r="F90" s="57" t="s">
        <v>539</v>
      </c>
      <c r="G90" s="58"/>
      <c r="H90" s="215">
        <f>596746.74/1000</f>
        <v>596.74674000000005</v>
      </c>
      <c r="I90" s="29" t="str">
        <f t="shared" si="1"/>
        <v>-</v>
      </c>
    </row>
    <row r="91" spans="1:9" ht="21.75" customHeight="1" thickBot="1" x14ac:dyDescent="0.3">
      <c r="A91" s="59" t="s">
        <v>271</v>
      </c>
      <c r="B91" s="60" t="s">
        <v>170</v>
      </c>
      <c r="C91" s="61" t="s">
        <v>540</v>
      </c>
      <c r="D91" s="61"/>
      <c r="E91" s="61"/>
      <c r="F91" s="62" t="s">
        <v>541</v>
      </c>
      <c r="G91" s="63"/>
      <c r="H91" s="218">
        <f>596746.74/1000</f>
        <v>596.74674000000005</v>
      </c>
      <c r="I91" s="29" t="str">
        <f t="shared" si="1"/>
        <v>-</v>
      </c>
    </row>
    <row r="92" spans="1:9" ht="32.25" hidden="1" thickBot="1" x14ac:dyDescent="0.3">
      <c r="A92" s="80" t="s">
        <v>271</v>
      </c>
      <c r="B92" s="81" t="s">
        <v>170</v>
      </c>
      <c r="C92" s="82"/>
      <c r="D92" s="82"/>
      <c r="E92" s="82"/>
      <c r="F92" s="83" t="s">
        <v>272</v>
      </c>
      <c r="G92" s="84"/>
      <c r="H92" s="227">
        <v>596746.74</v>
      </c>
      <c r="I92" s="29" t="str">
        <f t="shared" si="1"/>
        <v>-</v>
      </c>
    </row>
    <row r="93" spans="1:9" ht="32.25" hidden="1" thickBot="1" x14ac:dyDescent="0.3">
      <c r="A93" s="64" t="s">
        <v>178</v>
      </c>
      <c r="B93" s="65" t="s">
        <v>170</v>
      </c>
      <c r="C93" s="66"/>
      <c r="D93" s="66"/>
      <c r="E93" s="66"/>
      <c r="F93" s="67" t="s">
        <v>273</v>
      </c>
      <c r="G93" s="68"/>
      <c r="H93" s="224">
        <v>596746.74</v>
      </c>
      <c r="I93" s="31" t="str">
        <f t="shared" si="1"/>
        <v>-</v>
      </c>
    </row>
    <row r="94" spans="1:9" ht="32.25" hidden="1" thickBot="1" x14ac:dyDescent="0.3">
      <c r="A94" s="64" t="s">
        <v>274</v>
      </c>
      <c r="B94" s="65" t="s">
        <v>170</v>
      </c>
      <c r="C94" s="66"/>
      <c r="D94" s="66"/>
      <c r="E94" s="66"/>
      <c r="F94" s="67" t="s">
        <v>275</v>
      </c>
      <c r="G94" s="68"/>
      <c r="H94" s="224">
        <v>596746.74</v>
      </c>
      <c r="I94" s="31" t="str">
        <f t="shared" si="1"/>
        <v>-</v>
      </c>
    </row>
    <row r="95" spans="1:9" ht="32.25" hidden="1" thickBot="1" x14ac:dyDescent="0.3">
      <c r="A95" s="64" t="s">
        <v>182</v>
      </c>
      <c r="B95" s="65" t="s">
        <v>170</v>
      </c>
      <c r="C95" s="66"/>
      <c r="D95" s="66"/>
      <c r="E95" s="66"/>
      <c r="F95" s="67" t="s">
        <v>276</v>
      </c>
      <c r="G95" s="68"/>
      <c r="H95" s="224">
        <v>572196.74</v>
      </c>
      <c r="I95" s="31" t="str">
        <f t="shared" si="1"/>
        <v>-</v>
      </c>
    </row>
    <row r="96" spans="1:9" ht="32.25" hidden="1" thickBot="1" x14ac:dyDescent="0.3">
      <c r="A96" s="64" t="s">
        <v>184</v>
      </c>
      <c r="B96" s="65" t="s">
        <v>170</v>
      </c>
      <c r="C96" s="66"/>
      <c r="D96" s="66"/>
      <c r="E96" s="66"/>
      <c r="F96" s="67" t="s">
        <v>277</v>
      </c>
      <c r="G96" s="68"/>
      <c r="H96" s="224">
        <v>386926.99</v>
      </c>
      <c r="I96" s="31" t="str">
        <f t="shared" si="1"/>
        <v>-</v>
      </c>
    </row>
    <row r="97" spans="1:9" ht="48" hidden="1" thickBot="1" x14ac:dyDescent="0.3">
      <c r="A97" s="64" t="s">
        <v>186</v>
      </c>
      <c r="B97" s="65" t="s">
        <v>170</v>
      </c>
      <c r="C97" s="66"/>
      <c r="D97" s="66"/>
      <c r="E97" s="66"/>
      <c r="F97" s="67" t="s">
        <v>278</v>
      </c>
      <c r="G97" s="68"/>
      <c r="H97" s="224">
        <v>185269.75</v>
      </c>
      <c r="I97" s="31" t="str">
        <f t="shared" si="1"/>
        <v>-</v>
      </c>
    </row>
    <row r="98" spans="1:9" ht="32.25" hidden="1" thickBot="1" x14ac:dyDescent="0.3">
      <c r="A98" s="64" t="s">
        <v>196</v>
      </c>
      <c r="B98" s="65" t="s">
        <v>170</v>
      </c>
      <c r="C98" s="66"/>
      <c r="D98" s="66"/>
      <c r="E98" s="66"/>
      <c r="F98" s="67" t="s">
        <v>279</v>
      </c>
      <c r="G98" s="68"/>
      <c r="H98" s="224">
        <v>24550</v>
      </c>
      <c r="I98" s="31" t="str">
        <f t="shared" si="1"/>
        <v>-</v>
      </c>
    </row>
    <row r="99" spans="1:9" ht="32.25" hidden="1" thickBot="1" x14ac:dyDescent="0.3">
      <c r="A99" s="69" t="s">
        <v>200</v>
      </c>
      <c r="B99" s="71" t="s">
        <v>170</v>
      </c>
      <c r="C99" s="72"/>
      <c r="D99" s="72"/>
      <c r="E99" s="72"/>
      <c r="F99" s="73" t="s">
        <v>280</v>
      </c>
      <c r="G99" s="74"/>
      <c r="H99" s="225">
        <v>24550</v>
      </c>
      <c r="I99" s="31" t="str">
        <f t="shared" si="1"/>
        <v>-</v>
      </c>
    </row>
    <row r="100" spans="1:9" ht="39" customHeight="1" thickBot="1" x14ac:dyDescent="0.3">
      <c r="A100" s="54" t="s">
        <v>281</v>
      </c>
      <c r="B100" s="55" t="s">
        <v>170</v>
      </c>
      <c r="C100" s="56" t="s">
        <v>541</v>
      </c>
      <c r="D100" s="56"/>
      <c r="E100" s="56"/>
      <c r="F100" s="57" t="s">
        <v>539</v>
      </c>
      <c r="G100" s="58"/>
      <c r="H100" s="215">
        <f>816713.11/1000</f>
        <v>816.71311000000003</v>
      </c>
      <c r="I100" s="29" t="str">
        <f t="shared" si="1"/>
        <v>-</v>
      </c>
    </row>
    <row r="101" spans="1:9" ht="33.75" customHeight="1" x14ac:dyDescent="0.25">
      <c r="A101" s="85" t="s">
        <v>282</v>
      </c>
      <c r="B101" s="60" t="s">
        <v>170</v>
      </c>
      <c r="C101" s="61" t="s">
        <v>541</v>
      </c>
      <c r="D101" s="61"/>
      <c r="E101" s="61"/>
      <c r="F101" s="62" t="s">
        <v>546</v>
      </c>
      <c r="G101" s="63"/>
      <c r="H101" s="218">
        <f>543357.68/1000</f>
        <v>543.35768000000007</v>
      </c>
      <c r="I101" s="29" t="str">
        <f t="shared" si="1"/>
        <v>-</v>
      </c>
    </row>
    <row r="102" spans="1:9" ht="31.5" hidden="1" x14ac:dyDescent="0.25">
      <c r="A102" s="80" t="s">
        <v>282</v>
      </c>
      <c r="B102" s="81" t="s">
        <v>170</v>
      </c>
      <c r="C102" s="82"/>
      <c r="D102" s="82"/>
      <c r="E102" s="82"/>
      <c r="F102" s="83" t="s">
        <v>283</v>
      </c>
      <c r="G102" s="84"/>
      <c r="H102" s="227">
        <v>543357.68000000005</v>
      </c>
      <c r="I102" s="29" t="str">
        <f t="shared" si="1"/>
        <v>-</v>
      </c>
    </row>
    <row r="103" spans="1:9" ht="47.25" hidden="1" x14ac:dyDescent="0.25">
      <c r="A103" s="64" t="s">
        <v>284</v>
      </c>
      <c r="B103" s="65" t="s">
        <v>170</v>
      </c>
      <c r="C103" s="66"/>
      <c r="D103" s="66"/>
      <c r="E103" s="66"/>
      <c r="F103" s="67" t="s">
        <v>285</v>
      </c>
      <c r="G103" s="68"/>
      <c r="H103" s="224">
        <v>199157.68</v>
      </c>
      <c r="I103" s="31" t="str">
        <f t="shared" si="1"/>
        <v>-</v>
      </c>
    </row>
    <row r="104" spans="1:9" ht="31.5" hidden="1" x14ac:dyDescent="0.25">
      <c r="A104" s="64" t="s">
        <v>286</v>
      </c>
      <c r="B104" s="65" t="s">
        <v>170</v>
      </c>
      <c r="C104" s="66"/>
      <c r="D104" s="66"/>
      <c r="E104" s="66"/>
      <c r="F104" s="67" t="s">
        <v>287</v>
      </c>
      <c r="G104" s="68"/>
      <c r="H104" s="224">
        <v>199157.68</v>
      </c>
      <c r="I104" s="31" t="str">
        <f t="shared" si="1"/>
        <v>-</v>
      </c>
    </row>
    <row r="105" spans="1:9" ht="31.5" hidden="1" x14ac:dyDescent="0.25">
      <c r="A105" s="64" t="s">
        <v>196</v>
      </c>
      <c r="B105" s="65" t="s">
        <v>170</v>
      </c>
      <c r="C105" s="66"/>
      <c r="D105" s="66"/>
      <c r="E105" s="66"/>
      <c r="F105" s="67" t="s">
        <v>288</v>
      </c>
      <c r="G105" s="68"/>
      <c r="H105" s="224">
        <v>199157.68</v>
      </c>
      <c r="I105" s="31" t="str">
        <f t="shared" si="1"/>
        <v>-</v>
      </c>
    </row>
    <row r="106" spans="1:9" ht="31.5" hidden="1" x14ac:dyDescent="0.25">
      <c r="A106" s="64" t="s">
        <v>198</v>
      </c>
      <c r="B106" s="65" t="s">
        <v>170</v>
      </c>
      <c r="C106" s="66"/>
      <c r="D106" s="66"/>
      <c r="E106" s="66"/>
      <c r="F106" s="67" t="s">
        <v>289</v>
      </c>
      <c r="G106" s="68"/>
      <c r="H106" s="224" t="s">
        <v>21</v>
      </c>
      <c r="I106" s="31" t="str">
        <f t="shared" si="1"/>
        <v>-</v>
      </c>
    </row>
    <row r="107" spans="1:9" ht="31.5" hidden="1" x14ac:dyDescent="0.25">
      <c r="A107" s="64" t="s">
        <v>200</v>
      </c>
      <c r="B107" s="65" t="s">
        <v>170</v>
      </c>
      <c r="C107" s="66"/>
      <c r="D107" s="66"/>
      <c r="E107" s="66"/>
      <c r="F107" s="67" t="s">
        <v>290</v>
      </c>
      <c r="G107" s="68"/>
      <c r="H107" s="224">
        <v>199157.68</v>
      </c>
      <c r="I107" s="31" t="str">
        <f t="shared" si="1"/>
        <v>-</v>
      </c>
    </row>
    <row r="108" spans="1:9" ht="31.5" hidden="1" x14ac:dyDescent="0.25">
      <c r="A108" s="64" t="s">
        <v>291</v>
      </c>
      <c r="B108" s="65" t="s">
        <v>170</v>
      </c>
      <c r="C108" s="66"/>
      <c r="D108" s="66"/>
      <c r="E108" s="66"/>
      <c r="F108" s="67" t="s">
        <v>292</v>
      </c>
      <c r="G108" s="68"/>
      <c r="H108" s="224">
        <v>51600</v>
      </c>
      <c r="I108" s="31" t="str">
        <f t="shared" si="1"/>
        <v>-</v>
      </c>
    </row>
    <row r="109" spans="1:9" ht="31.5" hidden="1" x14ac:dyDescent="0.25">
      <c r="A109" s="64" t="s">
        <v>293</v>
      </c>
      <c r="B109" s="65" t="s">
        <v>170</v>
      </c>
      <c r="C109" s="66"/>
      <c r="D109" s="66"/>
      <c r="E109" s="66"/>
      <c r="F109" s="67" t="s">
        <v>294</v>
      </c>
      <c r="G109" s="68"/>
      <c r="H109" s="224">
        <v>51600</v>
      </c>
      <c r="I109" s="31" t="str">
        <f t="shared" si="1"/>
        <v>-</v>
      </c>
    </row>
    <row r="110" spans="1:9" ht="31.5" hidden="1" x14ac:dyDescent="0.25">
      <c r="A110" s="64" t="s">
        <v>196</v>
      </c>
      <c r="B110" s="65" t="s">
        <v>170</v>
      </c>
      <c r="C110" s="66"/>
      <c r="D110" s="66"/>
      <c r="E110" s="66"/>
      <c r="F110" s="67" t="s">
        <v>295</v>
      </c>
      <c r="G110" s="68"/>
      <c r="H110" s="224">
        <v>51600</v>
      </c>
      <c r="I110" s="31" t="str">
        <f t="shared" si="1"/>
        <v>-</v>
      </c>
    </row>
    <row r="111" spans="1:9" ht="31.5" hidden="1" x14ac:dyDescent="0.25">
      <c r="A111" s="64" t="s">
        <v>200</v>
      </c>
      <c r="B111" s="65" t="s">
        <v>170</v>
      </c>
      <c r="C111" s="66"/>
      <c r="D111" s="66"/>
      <c r="E111" s="66"/>
      <c r="F111" s="67" t="s">
        <v>296</v>
      </c>
      <c r="G111" s="68"/>
      <c r="H111" s="224">
        <v>51600</v>
      </c>
      <c r="I111" s="31" t="str">
        <f t="shared" si="1"/>
        <v>-</v>
      </c>
    </row>
    <row r="112" spans="1:9" ht="31.5" hidden="1" x14ac:dyDescent="0.25">
      <c r="A112" s="64" t="s">
        <v>297</v>
      </c>
      <c r="B112" s="65" t="s">
        <v>170</v>
      </c>
      <c r="C112" s="66"/>
      <c r="D112" s="66"/>
      <c r="E112" s="66"/>
      <c r="F112" s="67" t="s">
        <v>298</v>
      </c>
      <c r="G112" s="68"/>
      <c r="H112" s="224">
        <v>292600</v>
      </c>
      <c r="I112" s="31" t="str">
        <f t="shared" si="1"/>
        <v>-</v>
      </c>
    </row>
    <row r="113" spans="1:9" ht="31.5" hidden="1" x14ac:dyDescent="0.25">
      <c r="A113" s="64" t="s">
        <v>299</v>
      </c>
      <c r="B113" s="65" t="s">
        <v>170</v>
      </c>
      <c r="C113" s="66"/>
      <c r="D113" s="66"/>
      <c r="E113" s="66"/>
      <c r="F113" s="67" t="s">
        <v>300</v>
      </c>
      <c r="G113" s="68"/>
      <c r="H113" s="224">
        <v>292600</v>
      </c>
      <c r="I113" s="31" t="str">
        <f t="shared" si="1"/>
        <v>-</v>
      </c>
    </row>
    <row r="114" spans="1:9" ht="31.5" hidden="1" x14ac:dyDescent="0.25">
      <c r="A114" s="64" t="s">
        <v>196</v>
      </c>
      <c r="B114" s="65" t="s">
        <v>170</v>
      </c>
      <c r="C114" s="66"/>
      <c r="D114" s="66"/>
      <c r="E114" s="66"/>
      <c r="F114" s="67" t="s">
        <v>301</v>
      </c>
      <c r="G114" s="68"/>
      <c r="H114" s="224">
        <v>292600</v>
      </c>
      <c r="I114" s="31" t="str">
        <f t="shared" si="1"/>
        <v>-</v>
      </c>
    </row>
    <row r="115" spans="1:9" ht="31.5" hidden="1" x14ac:dyDescent="0.25">
      <c r="A115" s="64" t="s">
        <v>200</v>
      </c>
      <c r="B115" s="65" t="s">
        <v>170</v>
      </c>
      <c r="C115" s="66"/>
      <c r="D115" s="66"/>
      <c r="E115" s="66"/>
      <c r="F115" s="67" t="s">
        <v>302</v>
      </c>
      <c r="G115" s="68"/>
      <c r="H115" s="224">
        <v>292600</v>
      </c>
      <c r="I115" s="31" t="str">
        <f t="shared" si="1"/>
        <v>-</v>
      </c>
    </row>
    <row r="116" spans="1:9" ht="32.25" thickBot="1" x14ac:dyDescent="0.3">
      <c r="A116" s="59" t="s">
        <v>303</v>
      </c>
      <c r="B116" s="60" t="s">
        <v>170</v>
      </c>
      <c r="C116" s="61" t="s">
        <v>541</v>
      </c>
      <c r="D116" s="61"/>
      <c r="E116" s="61"/>
      <c r="F116" s="62" t="s">
        <v>547</v>
      </c>
      <c r="G116" s="63"/>
      <c r="H116" s="218">
        <f>273355.43/1000</f>
        <v>273.35543000000001</v>
      </c>
      <c r="I116" s="29" t="str">
        <f t="shared" si="1"/>
        <v>-</v>
      </c>
    </row>
    <row r="117" spans="1:9" ht="32.25" hidden="1" thickBot="1" x14ac:dyDescent="0.3">
      <c r="A117" s="80" t="s">
        <v>303</v>
      </c>
      <c r="B117" s="81" t="s">
        <v>170</v>
      </c>
      <c r="C117" s="82"/>
      <c r="D117" s="82"/>
      <c r="E117" s="82"/>
      <c r="F117" s="83" t="s">
        <v>304</v>
      </c>
      <c r="G117" s="84"/>
      <c r="H117" s="227">
        <v>273355.43</v>
      </c>
      <c r="I117" s="29" t="str">
        <f t="shared" si="1"/>
        <v>-</v>
      </c>
    </row>
    <row r="118" spans="1:9" ht="32.25" hidden="1" thickBot="1" x14ac:dyDescent="0.3">
      <c r="A118" s="64" t="s">
        <v>178</v>
      </c>
      <c r="B118" s="65" t="s">
        <v>170</v>
      </c>
      <c r="C118" s="66"/>
      <c r="D118" s="66"/>
      <c r="E118" s="66"/>
      <c r="F118" s="67" t="s">
        <v>305</v>
      </c>
      <c r="G118" s="68"/>
      <c r="H118" s="224">
        <v>273355.43</v>
      </c>
      <c r="I118" s="31" t="str">
        <f t="shared" si="1"/>
        <v>-</v>
      </c>
    </row>
    <row r="119" spans="1:9" ht="63.75" hidden="1" thickBot="1" x14ac:dyDescent="0.3">
      <c r="A119" s="64" t="s">
        <v>306</v>
      </c>
      <c r="B119" s="65" t="s">
        <v>170</v>
      </c>
      <c r="C119" s="66"/>
      <c r="D119" s="66"/>
      <c r="E119" s="66"/>
      <c r="F119" s="67" t="s">
        <v>307</v>
      </c>
      <c r="G119" s="68"/>
      <c r="H119" s="224">
        <v>273355.43</v>
      </c>
      <c r="I119" s="31" t="str">
        <f t="shared" si="1"/>
        <v>-</v>
      </c>
    </row>
    <row r="120" spans="1:9" ht="32.25" hidden="1" thickBot="1" x14ac:dyDescent="0.3">
      <c r="A120" s="64" t="s">
        <v>182</v>
      </c>
      <c r="B120" s="65" t="s">
        <v>170</v>
      </c>
      <c r="C120" s="66"/>
      <c r="D120" s="66"/>
      <c r="E120" s="66"/>
      <c r="F120" s="67" t="s">
        <v>308</v>
      </c>
      <c r="G120" s="68"/>
      <c r="H120" s="224">
        <v>273355.43</v>
      </c>
      <c r="I120" s="31" t="str">
        <f t="shared" si="1"/>
        <v>-</v>
      </c>
    </row>
    <row r="121" spans="1:9" ht="32.25" hidden="1" thickBot="1" x14ac:dyDescent="0.3">
      <c r="A121" s="64" t="s">
        <v>184</v>
      </c>
      <c r="B121" s="65" t="s">
        <v>170</v>
      </c>
      <c r="C121" s="66"/>
      <c r="D121" s="66"/>
      <c r="E121" s="66"/>
      <c r="F121" s="67" t="s">
        <v>309</v>
      </c>
      <c r="G121" s="68"/>
      <c r="H121" s="224">
        <v>211510.84</v>
      </c>
      <c r="I121" s="31" t="str">
        <f t="shared" si="1"/>
        <v>-</v>
      </c>
    </row>
    <row r="122" spans="1:9" ht="48" hidden="1" thickBot="1" x14ac:dyDescent="0.3">
      <c r="A122" s="64" t="s">
        <v>186</v>
      </c>
      <c r="B122" s="65" t="s">
        <v>170</v>
      </c>
      <c r="C122" s="66"/>
      <c r="D122" s="66"/>
      <c r="E122" s="66"/>
      <c r="F122" s="67" t="s">
        <v>310</v>
      </c>
      <c r="G122" s="68"/>
      <c r="H122" s="224">
        <v>61844.59</v>
      </c>
      <c r="I122" s="31" t="str">
        <f t="shared" si="1"/>
        <v>-</v>
      </c>
    </row>
    <row r="123" spans="1:9" ht="32.25" hidden="1" thickBot="1" x14ac:dyDescent="0.3">
      <c r="A123" s="64" t="s">
        <v>196</v>
      </c>
      <c r="B123" s="65" t="s">
        <v>170</v>
      </c>
      <c r="C123" s="66"/>
      <c r="D123" s="66"/>
      <c r="E123" s="66"/>
      <c r="F123" s="67" t="s">
        <v>311</v>
      </c>
      <c r="G123" s="68"/>
      <c r="H123" s="224" t="s">
        <v>21</v>
      </c>
      <c r="I123" s="31" t="str">
        <f t="shared" si="1"/>
        <v>-</v>
      </c>
    </row>
    <row r="124" spans="1:9" ht="32.25" hidden="1" thickBot="1" x14ac:dyDescent="0.3">
      <c r="A124" s="64" t="s">
        <v>198</v>
      </c>
      <c r="B124" s="65" t="s">
        <v>170</v>
      </c>
      <c r="C124" s="66"/>
      <c r="D124" s="66"/>
      <c r="E124" s="66"/>
      <c r="F124" s="67" t="s">
        <v>312</v>
      </c>
      <c r="G124" s="68"/>
      <c r="H124" s="224" t="s">
        <v>21</v>
      </c>
      <c r="I124" s="31" t="str">
        <f t="shared" si="1"/>
        <v>-</v>
      </c>
    </row>
    <row r="125" spans="1:9" ht="32.25" hidden="1" thickBot="1" x14ac:dyDescent="0.3">
      <c r="A125" s="69" t="s">
        <v>200</v>
      </c>
      <c r="B125" s="71" t="s">
        <v>170</v>
      </c>
      <c r="C125" s="72"/>
      <c r="D125" s="72"/>
      <c r="E125" s="72"/>
      <c r="F125" s="73" t="s">
        <v>313</v>
      </c>
      <c r="G125" s="74"/>
      <c r="H125" s="225" t="s">
        <v>21</v>
      </c>
      <c r="I125" s="31" t="str">
        <f t="shared" si="1"/>
        <v>-</v>
      </c>
    </row>
    <row r="126" spans="1:9" ht="23.25" customHeight="1" thickBot="1" x14ac:dyDescent="0.3">
      <c r="A126" s="54" t="s">
        <v>314</v>
      </c>
      <c r="B126" s="55" t="s">
        <v>170</v>
      </c>
      <c r="C126" s="56" t="s">
        <v>542</v>
      </c>
      <c r="D126" s="56"/>
      <c r="E126" s="56"/>
      <c r="F126" s="57" t="s">
        <v>539</v>
      </c>
      <c r="G126" s="58"/>
      <c r="H126" s="215">
        <f>14568450.55/1000</f>
        <v>14568.450550000001</v>
      </c>
      <c r="I126" s="29" t="str">
        <f t="shared" si="1"/>
        <v>-</v>
      </c>
    </row>
    <row r="127" spans="1:9" ht="20.25" customHeight="1" x14ac:dyDescent="0.25">
      <c r="A127" s="59" t="s">
        <v>315</v>
      </c>
      <c r="B127" s="60" t="s">
        <v>170</v>
      </c>
      <c r="C127" s="61" t="s">
        <v>542</v>
      </c>
      <c r="D127" s="61"/>
      <c r="E127" s="61"/>
      <c r="F127" s="62" t="s">
        <v>546</v>
      </c>
      <c r="G127" s="63"/>
      <c r="H127" s="218">
        <f>11203147.93/1000</f>
        <v>11203.147929999999</v>
      </c>
      <c r="I127" s="29" t="str">
        <f t="shared" si="1"/>
        <v>-</v>
      </c>
    </row>
    <row r="128" spans="1:9" ht="16.5" hidden="1" customHeight="1" x14ac:dyDescent="0.25">
      <c r="A128" s="59" t="s">
        <v>315</v>
      </c>
      <c r="B128" s="60" t="s">
        <v>170</v>
      </c>
      <c r="C128" s="61"/>
      <c r="D128" s="61"/>
      <c r="E128" s="61"/>
      <c r="F128" s="62" t="s">
        <v>316</v>
      </c>
      <c r="G128" s="63"/>
      <c r="H128" s="218">
        <v>11203147.93</v>
      </c>
      <c r="I128" s="29" t="str">
        <f t="shared" si="1"/>
        <v>-</v>
      </c>
    </row>
    <row r="129" spans="1:9" ht="78.75" hidden="1" x14ac:dyDescent="0.25">
      <c r="A129" s="64" t="s">
        <v>317</v>
      </c>
      <c r="B129" s="65" t="s">
        <v>170</v>
      </c>
      <c r="C129" s="66"/>
      <c r="D129" s="66"/>
      <c r="E129" s="66"/>
      <c r="F129" s="67" t="s">
        <v>318</v>
      </c>
      <c r="G129" s="68"/>
      <c r="H129" s="224">
        <v>4022001.2</v>
      </c>
      <c r="I129" s="31" t="str">
        <f t="shared" si="1"/>
        <v>-</v>
      </c>
    </row>
    <row r="130" spans="1:9" ht="31.5" hidden="1" x14ac:dyDescent="0.25">
      <c r="A130" s="64" t="s">
        <v>319</v>
      </c>
      <c r="B130" s="65" t="s">
        <v>170</v>
      </c>
      <c r="C130" s="66"/>
      <c r="D130" s="66"/>
      <c r="E130" s="66"/>
      <c r="F130" s="67" t="s">
        <v>320</v>
      </c>
      <c r="G130" s="68"/>
      <c r="H130" s="224">
        <v>3700382.2</v>
      </c>
      <c r="I130" s="31" t="str">
        <f t="shared" si="1"/>
        <v>-</v>
      </c>
    </row>
    <row r="131" spans="1:9" ht="31.5" hidden="1" x14ac:dyDescent="0.25">
      <c r="A131" s="64" t="s">
        <v>196</v>
      </c>
      <c r="B131" s="65" t="s">
        <v>170</v>
      </c>
      <c r="C131" s="66"/>
      <c r="D131" s="66"/>
      <c r="E131" s="66"/>
      <c r="F131" s="67" t="s">
        <v>321</v>
      </c>
      <c r="G131" s="68"/>
      <c r="H131" s="224">
        <v>3700382.2</v>
      </c>
      <c r="I131" s="31" t="str">
        <f t="shared" si="1"/>
        <v>-</v>
      </c>
    </row>
    <row r="132" spans="1:9" ht="31.5" hidden="1" x14ac:dyDescent="0.25">
      <c r="A132" s="64" t="s">
        <v>200</v>
      </c>
      <c r="B132" s="65" t="s">
        <v>170</v>
      </c>
      <c r="C132" s="66"/>
      <c r="D132" s="66"/>
      <c r="E132" s="66"/>
      <c r="F132" s="67" t="s">
        <v>322</v>
      </c>
      <c r="G132" s="68"/>
      <c r="H132" s="224">
        <v>3700382.2</v>
      </c>
      <c r="I132" s="31" t="str">
        <f t="shared" si="1"/>
        <v>-</v>
      </c>
    </row>
    <row r="133" spans="1:9" ht="31.5" hidden="1" x14ac:dyDescent="0.25">
      <c r="A133" s="64" t="s">
        <v>323</v>
      </c>
      <c r="B133" s="65" t="s">
        <v>170</v>
      </c>
      <c r="C133" s="66"/>
      <c r="D133" s="66"/>
      <c r="E133" s="66"/>
      <c r="F133" s="67" t="s">
        <v>324</v>
      </c>
      <c r="G133" s="68"/>
      <c r="H133" s="224">
        <v>321619</v>
      </c>
      <c r="I133" s="31" t="str">
        <f t="shared" si="1"/>
        <v>-</v>
      </c>
    </row>
    <row r="134" spans="1:9" ht="31.5" hidden="1" x14ac:dyDescent="0.25">
      <c r="A134" s="64" t="s">
        <v>196</v>
      </c>
      <c r="B134" s="65" t="s">
        <v>170</v>
      </c>
      <c r="C134" s="66"/>
      <c r="D134" s="66"/>
      <c r="E134" s="66"/>
      <c r="F134" s="67" t="s">
        <v>325</v>
      </c>
      <c r="G134" s="68"/>
      <c r="H134" s="224">
        <v>321619</v>
      </c>
      <c r="I134" s="31" t="str">
        <f t="shared" si="1"/>
        <v>-</v>
      </c>
    </row>
    <row r="135" spans="1:9" ht="31.5" hidden="1" x14ac:dyDescent="0.25">
      <c r="A135" s="64" t="s">
        <v>200</v>
      </c>
      <c r="B135" s="65" t="s">
        <v>170</v>
      </c>
      <c r="C135" s="66"/>
      <c r="D135" s="66"/>
      <c r="E135" s="66"/>
      <c r="F135" s="67" t="s">
        <v>326</v>
      </c>
      <c r="G135" s="68"/>
      <c r="H135" s="224">
        <v>321619</v>
      </c>
      <c r="I135" s="31" t="str">
        <f t="shared" si="1"/>
        <v>-</v>
      </c>
    </row>
    <row r="136" spans="1:9" ht="31.5" hidden="1" x14ac:dyDescent="0.25">
      <c r="A136" s="64" t="s">
        <v>327</v>
      </c>
      <c r="B136" s="65" t="s">
        <v>170</v>
      </c>
      <c r="C136" s="66"/>
      <c r="D136" s="66"/>
      <c r="E136" s="66"/>
      <c r="F136" s="67" t="s">
        <v>328</v>
      </c>
      <c r="G136" s="68"/>
      <c r="H136" s="224">
        <v>7181146.7300000004</v>
      </c>
      <c r="I136" s="31" t="str">
        <f t="shared" si="1"/>
        <v>-</v>
      </c>
    </row>
    <row r="137" spans="1:9" ht="31.5" hidden="1" x14ac:dyDescent="0.25">
      <c r="A137" s="64" t="s">
        <v>319</v>
      </c>
      <c r="B137" s="65" t="s">
        <v>170</v>
      </c>
      <c r="C137" s="66"/>
      <c r="D137" s="66"/>
      <c r="E137" s="66"/>
      <c r="F137" s="67" t="s">
        <v>329</v>
      </c>
      <c r="G137" s="68"/>
      <c r="H137" s="224">
        <v>6883568</v>
      </c>
      <c r="I137" s="31" t="str">
        <f t="shared" si="1"/>
        <v>-</v>
      </c>
    </row>
    <row r="138" spans="1:9" ht="31.5" hidden="1" x14ac:dyDescent="0.25">
      <c r="A138" s="64" t="s">
        <v>196</v>
      </c>
      <c r="B138" s="65" t="s">
        <v>170</v>
      </c>
      <c r="C138" s="66"/>
      <c r="D138" s="66"/>
      <c r="E138" s="66"/>
      <c r="F138" s="67" t="s">
        <v>330</v>
      </c>
      <c r="G138" s="68"/>
      <c r="H138" s="224">
        <v>6883568</v>
      </c>
      <c r="I138" s="31" t="str">
        <f t="shared" si="1"/>
        <v>-</v>
      </c>
    </row>
    <row r="139" spans="1:9" ht="31.5" hidden="1" x14ac:dyDescent="0.25">
      <c r="A139" s="64" t="s">
        <v>200</v>
      </c>
      <c r="B139" s="65" t="s">
        <v>170</v>
      </c>
      <c r="C139" s="66"/>
      <c r="D139" s="66"/>
      <c r="E139" s="66"/>
      <c r="F139" s="67" t="s">
        <v>331</v>
      </c>
      <c r="G139" s="68"/>
      <c r="H139" s="224">
        <v>6883568</v>
      </c>
      <c r="I139" s="31" t="str">
        <f t="shared" si="1"/>
        <v>-</v>
      </c>
    </row>
    <row r="140" spans="1:9" ht="31.5" hidden="1" x14ac:dyDescent="0.25">
      <c r="A140" s="64" t="s">
        <v>332</v>
      </c>
      <c r="B140" s="65" t="s">
        <v>170</v>
      </c>
      <c r="C140" s="66"/>
      <c r="D140" s="66"/>
      <c r="E140" s="66"/>
      <c r="F140" s="67" t="s">
        <v>333</v>
      </c>
      <c r="G140" s="68"/>
      <c r="H140" s="224">
        <v>297578.73</v>
      </c>
      <c r="I140" s="31" t="str">
        <f t="shared" si="1"/>
        <v>-</v>
      </c>
    </row>
    <row r="141" spans="1:9" ht="31.5" hidden="1" x14ac:dyDescent="0.25">
      <c r="A141" s="64" t="s">
        <v>196</v>
      </c>
      <c r="B141" s="65" t="s">
        <v>170</v>
      </c>
      <c r="C141" s="66"/>
      <c r="D141" s="66"/>
      <c r="E141" s="66"/>
      <c r="F141" s="67" t="s">
        <v>334</v>
      </c>
      <c r="G141" s="68"/>
      <c r="H141" s="224">
        <v>297578.73</v>
      </c>
      <c r="I141" s="31" t="str">
        <f t="shared" si="1"/>
        <v>-</v>
      </c>
    </row>
    <row r="142" spans="1:9" ht="31.5" hidden="1" x14ac:dyDescent="0.25">
      <c r="A142" s="69" t="s">
        <v>200</v>
      </c>
      <c r="B142" s="65" t="s">
        <v>170</v>
      </c>
      <c r="C142" s="66"/>
      <c r="D142" s="66"/>
      <c r="E142" s="66"/>
      <c r="F142" s="67" t="s">
        <v>335</v>
      </c>
      <c r="G142" s="68"/>
      <c r="H142" s="224">
        <v>297578.73</v>
      </c>
      <c r="I142" s="31" t="str">
        <f t="shared" si="1"/>
        <v>-</v>
      </c>
    </row>
    <row r="143" spans="1:9" ht="20.25" customHeight="1" thickBot="1" x14ac:dyDescent="0.3">
      <c r="A143" s="70" t="s">
        <v>336</v>
      </c>
      <c r="B143" s="60" t="s">
        <v>170</v>
      </c>
      <c r="C143" s="61" t="s">
        <v>542</v>
      </c>
      <c r="D143" s="61"/>
      <c r="E143" s="61"/>
      <c r="F143" s="62" t="s">
        <v>548</v>
      </c>
      <c r="G143" s="63"/>
      <c r="H143" s="218">
        <f>3365302.62/1000</f>
        <v>3365.3026199999999</v>
      </c>
      <c r="I143" s="29" t="str">
        <f t="shared" si="1"/>
        <v>-</v>
      </c>
    </row>
    <row r="144" spans="1:9" ht="32.25" hidden="1" thickBot="1" x14ac:dyDescent="0.3">
      <c r="A144" s="80" t="s">
        <v>336</v>
      </c>
      <c r="B144" s="81" t="s">
        <v>170</v>
      </c>
      <c r="C144" s="82"/>
      <c r="D144" s="82"/>
      <c r="E144" s="82"/>
      <c r="F144" s="83" t="s">
        <v>337</v>
      </c>
      <c r="G144" s="84"/>
      <c r="H144" s="227">
        <v>117331.62</v>
      </c>
      <c r="I144" s="29" t="str">
        <f t="shared" si="1"/>
        <v>-</v>
      </c>
    </row>
    <row r="145" spans="1:9" ht="63.75" hidden="1" thickBot="1" x14ac:dyDescent="0.3">
      <c r="A145" s="64" t="s">
        <v>338</v>
      </c>
      <c r="B145" s="65" t="s">
        <v>170</v>
      </c>
      <c r="C145" s="66"/>
      <c r="D145" s="66"/>
      <c r="E145" s="66"/>
      <c r="F145" s="67" t="s">
        <v>339</v>
      </c>
      <c r="G145" s="68"/>
      <c r="H145" s="224">
        <v>117331.62</v>
      </c>
      <c r="I145" s="31" t="str">
        <f t="shared" si="1"/>
        <v>-</v>
      </c>
    </row>
    <row r="146" spans="1:9" ht="48" hidden="1" thickBot="1" x14ac:dyDescent="0.3">
      <c r="A146" s="64" t="s">
        <v>340</v>
      </c>
      <c r="B146" s="65" t="s">
        <v>170</v>
      </c>
      <c r="C146" s="66"/>
      <c r="D146" s="66"/>
      <c r="E146" s="66"/>
      <c r="F146" s="67" t="s">
        <v>341</v>
      </c>
      <c r="G146" s="68"/>
      <c r="H146" s="224">
        <v>117331.62</v>
      </c>
      <c r="I146" s="31" t="str">
        <f t="shared" ref="I146:I209" si="2">IF(OR(G146="-",IF(H146="-",0,H146)&gt;=IF(G146="-",0,G146)),"-",IF(G146="-",0,G146)-IF(H146="-",0,H146))</f>
        <v>-</v>
      </c>
    </row>
    <row r="147" spans="1:9" ht="32.25" hidden="1" thickBot="1" x14ac:dyDescent="0.3">
      <c r="A147" s="64" t="s">
        <v>196</v>
      </c>
      <c r="B147" s="65" t="s">
        <v>170</v>
      </c>
      <c r="C147" s="66"/>
      <c r="D147" s="66"/>
      <c r="E147" s="66"/>
      <c r="F147" s="67" t="s">
        <v>342</v>
      </c>
      <c r="G147" s="68"/>
      <c r="H147" s="224">
        <v>117331.62</v>
      </c>
      <c r="I147" s="31" t="str">
        <f t="shared" si="2"/>
        <v>-</v>
      </c>
    </row>
    <row r="148" spans="1:9" ht="32.25" hidden="1" thickBot="1" x14ac:dyDescent="0.3">
      <c r="A148" s="64" t="s">
        <v>198</v>
      </c>
      <c r="B148" s="65" t="s">
        <v>170</v>
      </c>
      <c r="C148" s="66"/>
      <c r="D148" s="66"/>
      <c r="E148" s="66"/>
      <c r="F148" s="67" t="s">
        <v>343</v>
      </c>
      <c r="G148" s="68"/>
      <c r="H148" s="224">
        <v>117331.62</v>
      </c>
      <c r="I148" s="31" t="str">
        <f t="shared" si="2"/>
        <v>-</v>
      </c>
    </row>
    <row r="149" spans="1:9" ht="32.25" hidden="1" thickBot="1" x14ac:dyDescent="0.3">
      <c r="A149" s="64" t="s">
        <v>200</v>
      </c>
      <c r="B149" s="65" t="s">
        <v>170</v>
      </c>
      <c r="C149" s="66"/>
      <c r="D149" s="66"/>
      <c r="E149" s="66"/>
      <c r="F149" s="67" t="s">
        <v>344</v>
      </c>
      <c r="G149" s="68"/>
      <c r="H149" s="224" t="s">
        <v>21</v>
      </c>
      <c r="I149" s="31" t="str">
        <f t="shared" si="2"/>
        <v>-</v>
      </c>
    </row>
    <row r="150" spans="1:9" ht="13.5" hidden="1" customHeight="1" x14ac:dyDescent="0.25">
      <c r="A150" s="80" t="s">
        <v>336</v>
      </c>
      <c r="B150" s="81" t="s">
        <v>170</v>
      </c>
      <c r="C150" s="82"/>
      <c r="D150" s="82"/>
      <c r="E150" s="82"/>
      <c r="F150" s="83" t="s">
        <v>345</v>
      </c>
      <c r="G150" s="84"/>
      <c r="H150" s="227">
        <v>3247971</v>
      </c>
      <c r="I150" s="29" t="str">
        <f t="shared" si="2"/>
        <v>-</v>
      </c>
    </row>
    <row r="151" spans="1:9" ht="32.25" hidden="1" thickBot="1" x14ac:dyDescent="0.3">
      <c r="A151" s="64" t="s">
        <v>178</v>
      </c>
      <c r="B151" s="65" t="s">
        <v>170</v>
      </c>
      <c r="C151" s="66"/>
      <c r="D151" s="66"/>
      <c r="E151" s="66"/>
      <c r="F151" s="67" t="s">
        <v>346</v>
      </c>
      <c r="G151" s="68"/>
      <c r="H151" s="224">
        <v>3247971</v>
      </c>
      <c r="I151" s="31" t="str">
        <f t="shared" si="2"/>
        <v>-</v>
      </c>
    </row>
    <row r="152" spans="1:9" ht="32.25" hidden="1" thickBot="1" x14ac:dyDescent="0.3">
      <c r="A152" s="64" t="s">
        <v>347</v>
      </c>
      <c r="B152" s="65" t="s">
        <v>170</v>
      </c>
      <c r="C152" s="66"/>
      <c r="D152" s="66"/>
      <c r="E152" s="66"/>
      <c r="F152" s="67" t="s">
        <v>348</v>
      </c>
      <c r="G152" s="68"/>
      <c r="H152" s="224">
        <v>27251</v>
      </c>
      <c r="I152" s="31" t="str">
        <f t="shared" si="2"/>
        <v>-</v>
      </c>
    </row>
    <row r="153" spans="1:9" ht="32.25" hidden="1" thickBot="1" x14ac:dyDescent="0.3">
      <c r="A153" s="64" t="s">
        <v>196</v>
      </c>
      <c r="B153" s="65" t="s">
        <v>170</v>
      </c>
      <c r="C153" s="66"/>
      <c r="D153" s="66"/>
      <c r="E153" s="66"/>
      <c r="F153" s="67" t="s">
        <v>349</v>
      </c>
      <c r="G153" s="68"/>
      <c r="H153" s="224">
        <v>27251</v>
      </c>
      <c r="I153" s="31" t="str">
        <f t="shared" si="2"/>
        <v>-</v>
      </c>
    </row>
    <row r="154" spans="1:9" ht="32.25" hidden="1" thickBot="1" x14ac:dyDescent="0.3">
      <c r="A154" s="64" t="s">
        <v>200</v>
      </c>
      <c r="B154" s="65" t="s">
        <v>170</v>
      </c>
      <c r="C154" s="66"/>
      <c r="D154" s="66"/>
      <c r="E154" s="66"/>
      <c r="F154" s="67" t="s">
        <v>350</v>
      </c>
      <c r="G154" s="68"/>
      <c r="H154" s="224">
        <v>27251</v>
      </c>
      <c r="I154" s="31" t="str">
        <f t="shared" si="2"/>
        <v>-</v>
      </c>
    </row>
    <row r="155" spans="1:9" ht="32.25" hidden="1" thickBot="1" x14ac:dyDescent="0.3">
      <c r="A155" s="64" t="s">
        <v>351</v>
      </c>
      <c r="B155" s="65" t="s">
        <v>170</v>
      </c>
      <c r="C155" s="66"/>
      <c r="D155" s="66"/>
      <c r="E155" s="66"/>
      <c r="F155" s="67" t="s">
        <v>352</v>
      </c>
      <c r="G155" s="68"/>
      <c r="H155" s="224">
        <v>19800</v>
      </c>
      <c r="I155" s="31" t="str">
        <f t="shared" si="2"/>
        <v>-</v>
      </c>
    </row>
    <row r="156" spans="1:9" ht="32.25" hidden="1" thickBot="1" x14ac:dyDescent="0.3">
      <c r="A156" s="64" t="s">
        <v>196</v>
      </c>
      <c r="B156" s="65" t="s">
        <v>170</v>
      </c>
      <c r="C156" s="66"/>
      <c r="D156" s="66"/>
      <c r="E156" s="66"/>
      <c r="F156" s="67" t="s">
        <v>353</v>
      </c>
      <c r="G156" s="68"/>
      <c r="H156" s="224">
        <v>19800</v>
      </c>
      <c r="I156" s="31" t="str">
        <f t="shared" si="2"/>
        <v>-</v>
      </c>
    </row>
    <row r="157" spans="1:9" ht="32.25" hidden="1" thickBot="1" x14ac:dyDescent="0.3">
      <c r="A157" s="64" t="s">
        <v>200</v>
      </c>
      <c r="B157" s="65" t="s">
        <v>170</v>
      </c>
      <c r="C157" s="66"/>
      <c r="D157" s="66"/>
      <c r="E157" s="66"/>
      <c r="F157" s="67" t="s">
        <v>354</v>
      </c>
      <c r="G157" s="68"/>
      <c r="H157" s="224">
        <v>19800</v>
      </c>
      <c r="I157" s="31" t="str">
        <f t="shared" si="2"/>
        <v>-</v>
      </c>
    </row>
    <row r="158" spans="1:9" ht="32.25" hidden="1" thickBot="1" x14ac:dyDescent="0.3">
      <c r="A158" s="64" t="s">
        <v>355</v>
      </c>
      <c r="B158" s="65" t="s">
        <v>170</v>
      </c>
      <c r="C158" s="66"/>
      <c r="D158" s="66"/>
      <c r="E158" s="66"/>
      <c r="F158" s="67" t="s">
        <v>356</v>
      </c>
      <c r="G158" s="68"/>
      <c r="H158" s="224">
        <v>3200920</v>
      </c>
      <c r="I158" s="31" t="str">
        <f t="shared" si="2"/>
        <v>-</v>
      </c>
    </row>
    <row r="159" spans="1:9" ht="32.25" hidden="1" thickBot="1" x14ac:dyDescent="0.3">
      <c r="A159" s="64" t="s">
        <v>196</v>
      </c>
      <c r="B159" s="65" t="s">
        <v>170</v>
      </c>
      <c r="C159" s="66"/>
      <c r="D159" s="66"/>
      <c r="E159" s="66"/>
      <c r="F159" s="67" t="s">
        <v>357</v>
      </c>
      <c r="G159" s="68"/>
      <c r="H159" s="224">
        <v>3200920</v>
      </c>
      <c r="I159" s="31" t="str">
        <f t="shared" si="2"/>
        <v>-</v>
      </c>
    </row>
    <row r="160" spans="1:9" ht="32.25" hidden="1" thickBot="1" x14ac:dyDescent="0.3">
      <c r="A160" s="69" t="s">
        <v>200</v>
      </c>
      <c r="B160" s="71" t="s">
        <v>170</v>
      </c>
      <c r="C160" s="72"/>
      <c r="D160" s="72"/>
      <c r="E160" s="72"/>
      <c r="F160" s="73" t="s">
        <v>358</v>
      </c>
      <c r="G160" s="74"/>
      <c r="H160" s="225">
        <v>3200920</v>
      </c>
      <c r="I160" s="31" t="str">
        <f t="shared" si="2"/>
        <v>-</v>
      </c>
    </row>
    <row r="161" spans="1:9" ht="22.5" customHeight="1" thickBot="1" x14ac:dyDescent="0.3">
      <c r="A161" s="54" t="s">
        <v>359</v>
      </c>
      <c r="B161" s="55" t="s">
        <v>170</v>
      </c>
      <c r="C161" s="56" t="s">
        <v>549</v>
      </c>
      <c r="D161" s="56"/>
      <c r="E161" s="56"/>
      <c r="F161" s="57" t="s">
        <v>539</v>
      </c>
      <c r="G161" s="58"/>
      <c r="H161" s="215">
        <f>49852591.12/1000</f>
        <v>49852.591119999997</v>
      </c>
      <c r="I161" s="29" t="str">
        <f t="shared" si="2"/>
        <v>-</v>
      </c>
    </row>
    <row r="162" spans="1:9" ht="20.25" customHeight="1" x14ac:dyDescent="0.25">
      <c r="A162" s="59" t="s">
        <v>360</v>
      </c>
      <c r="B162" s="60" t="s">
        <v>170</v>
      </c>
      <c r="C162" s="61" t="s">
        <v>549</v>
      </c>
      <c r="D162" s="61"/>
      <c r="E162" s="61"/>
      <c r="F162" s="62" t="s">
        <v>538</v>
      </c>
      <c r="G162" s="63"/>
      <c r="H162" s="218">
        <f>1613933.72/1000</f>
        <v>1613.93372</v>
      </c>
      <c r="I162" s="29" t="str">
        <f t="shared" si="2"/>
        <v>-</v>
      </c>
    </row>
    <row r="163" spans="1:9" ht="31.5" hidden="1" x14ac:dyDescent="0.25">
      <c r="A163" s="59" t="s">
        <v>360</v>
      </c>
      <c r="B163" s="60" t="s">
        <v>170</v>
      </c>
      <c r="C163" s="61"/>
      <c r="D163" s="61"/>
      <c r="E163" s="61"/>
      <c r="F163" s="62" t="s">
        <v>361</v>
      </c>
      <c r="G163" s="63"/>
      <c r="H163" s="218">
        <v>1613933.72</v>
      </c>
      <c r="I163" s="29" t="str">
        <f t="shared" si="2"/>
        <v>-</v>
      </c>
    </row>
    <row r="164" spans="1:9" ht="31.5" hidden="1" x14ac:dyDescent="0.25">
      <c r="A164" s="64" t="s">
        <v>178</v>
      </c>
      <c r="B164" s="65" t="s">
        <v>170</v>
      </c>
      <c r="C164" s="66"/>
      <c r="D164" s="66"/>
      <c r="E164" s="66"/>
      <c r="F164" s="67" t="s">
        <v>362</v>
      </c>
      <c r="G164" s="68"/>
      <c r="H164" s="224">
        <v>1613933.72</v>
      </c>
      <c r="I164" s="31" t="str">
        <f t="shared" si="2"/>
        <v>-</v>
      </c>
    </row>
    <row r="165" spans="1:9" ht="31.5" hidden="1" x14ac:dyDescent="0.25">
      <c r="A165" s="64" t="s">
        <v>363</v>
      </c>
      <c r="B165" s="65" t="s">
        <v>170</v>
      </c>
      <c r="C165" s="66"/>
      <c r="D165" s="66"/>
      <c r="E165" s="66"/>
      <c r="F165" s="67" t="s">
        <v>364</v>
      </c>
      <c r="G165" s="68"/>
      <c r="H165" s="224">
        <v>900000</v>
      </c>
      <c r="I165" s="31" t="str">
        <f t="shared" si="2"/>
        <v>-</v>
      </c>
    </row>
    <row r="166" spans="1:9" ht="31.5" hidden="1" x14ac:dyDescent="0.25">
      <c r="A166" s="64" t="s">
        <v>196</v>
      </c>
      <c r="B166" s="65" t="s">
        <v>170</v>
      </c>
      <c r="C166" s="66"/>
      <c r="D166" s="66"/>
      <c r="E166" s="66"/>
      <c r="F166" s="67" t="s">
        <v>365</v>
      </c>
      <c r="G166" s="68"/>
      <c r="H166" s="224">
        <v>900000</v>
      </c>
      <c r="I166" s="31" t="str">
        <f t="shared" si="2"/>
        <v>-</v>
      </c>
    </row>
    <row r="167" spans="1:9" ht="31.5" hidden="1" x14ac:dyDescent="0.25">
      <c r="A167" s="64" t="s">
        <v>200</v>
      </c>
      <c r="B167" s="65" t="s">
        <v>170</v>
      </c>
      <c r="C167" s="66"/>
      <c r="D167" s="66"/>
      <c r="E167" s="66"/>
      <c r="F167" s="67" t="s">
        <v>366</v>
      </c>
      <c r="G167" s="68"/>
      <c r="H167" s="224">
        <v>900000</v>
      </c>
      <c r="I167" s="31" t="str">
        <f t="shared" si="2"/>
        <v>-</v>
      </c>
    </row>
    <row r="168" spans="1:9" ht="31.5" hidden="1" x14ac:dyDescent="0.25">
      <c r="A168" s="64" t="s">
        <v>367</v>
      </c>
      <c r="B168" s="65" t="s">
        <v>170</v>
      </c>
      <c r="C168" s="66"/>
      <c r="D168" s="66"/>
      <c r="E168" s="66"/>
      <c r="F168" s="67" t="s">
        <v>368</v>
      </c>
      <c r="G168" s="68"/>
      <c r="H168" s="224">
        <v>713933.72</v>
      </c>
      <c r="I168" s="31" t="str">
        <f t="shared" si="2"/>
        <v>-</v>
      </c>
    </row>
    <row r="169" spans="1:9" ht="31.5" hidden="1" x14ac:dyDescent="0.25">
      <c r="A169" s="64" t="s">
        <v>196</v>
      </c>
      <c r="B169" s="65" t="s">
        <v>170</v>
      </c>
      <c r="C169" s="66"/>
      <c r="D169" s="66"/>
      <c r="E169" s="66"/>
      <c r="F169" s="67" t="s">
        <v>369</v>
      </c>
      <c r="G169" s="68"/>
      <c r="H169" s="224">
        <v>713933.72</v>
      </c>
      <c r="I169" s="31" t="str">
        <f t="shared" si="2"/>
        <v>-</v>
      </c>
    </row>
    <row r="170" spans="1:9" ht="31.5" hidden="1" x14ac:dyDescent="0.25">
      <c r="A170" s="69" t="s">
        <v>200</v>
      </c>
      <c r="B170" s="65" t="s">
        <v>170</v>
      </c>
      <c r="C170" s="66"/>
      <c r="D170" s="66"/>
      <c r="E170" s="66"/>
      <c r="F170" s="67" t="s">
        <v>370</v>
      </c>
      <c r="G170" s="68"/>
      <c r="H170" s="224">
        <v>713933.72</v>
      </c>
      <c r="I170" s="31" t="str">
        <f t="shared" si="2"/>
        <v>-</v>
      </c>
    </row>
    <row r="171" spans="1:9" ht="19.5" customHeight="1" x14ac:dyDescent="0.25">
      <c r="A171" s="70" t="s">
        <v>371</v>
      </c>
      <c r="B171" s="60" t="s">
        <v>170</v>
      </c>
      <c r="C171" s="61" t="s">
        <v>549</v>
      </c>
      <c r="D171" s="61"/>
      <c r="E171" s="61"/>
      <c r="F171" s="62" t="s">
        <v>540</v>
      </c>
      <c r="G171" s="63"/>
      <c r="H171" s="218">
        <f>12196505.96/1000</f>
        <v>12196.50596</v>
      </c>
      <c r="I171" s="29" t="str">
        <f t="shared" si="2"/>
        <v>-</v>
      </c>
    </row>
    <row r="172" spans="1:9" ht="31.5" hidden="1" x14ac:dyDescent="0.25">
      <c r="A172" s="59" t="s">
        <v>371</v>
      </c>
      <c r="B172" s="60" t="s">
        <v>170</v>
      </c>
      <c r="C172" s="61"/>
      <c r="D172" s="61"/>
      <c r="E172" s="61"/>
      <c r="F172" s="62" t="s">
        <v>372</v>
      </c>
      <c r="G172" s="63"/>
      <c r="H172" s="218">
        <v>9396548.8599999994</v>
      </c>
      <c r="I172" s="29" t="str">
        <f t="shared" si="2"/>
        <v>-</v>
      </c>
    </row>
    <row r="173" spans="1:9" ht="47.25" hidden="1" x14ac:dyDescent="0.25">
      <c r="A173" s="64" t="s">
        <v>373</v>
      </c>
      <c r="B173" s="65" t="s">
        <v>170</v>
      </c>
      <c r="C173" s="66"/>
      <c r="D173" s="66"/>
      <c r="E173" s="66"/>
      <c r="F173" s="67" t="s">
        <v>374</v>
      </c>
      <c r="G173" s="68"/>
      <c r="H173" s="224">
        <v>9396548.8599999994</v>
      </c>
      <c r="I173" s="31" t="str">
        <f t="shared" si="2"/>
        <v>-</v>
      </c>
    </row>
    <row r="174" spans="1:9" ht="47.25" hidden="1" x14ac:dyDescent="0.25">
      <c r="A174" s="64" t="s">
        <v>375</v>
      </c>
      <c r="B174" s="65" t="s">
        <v>170</v>
      </c>
      <c r="C174" s="66"/>
      <c r="D174" s="66"/>
      <c r="E174" s="66"/>
      <c r="F174" s="67" t="s">
        <v>376</v>
      </c>
      <c r="G174" s="68"/>
      <c r="H174" s="224">
        <v>9377062.8599999994</v>
      </c>
      <c r="I174" s="31" t="str">
        <f t="shared" si="2"/>
        <v>-</v>
      </c>
    </row>
    <row r="175" spans="1:9" ht="31.5" hidden="1" x14ac:dyDescent="0.25">
      <c r="A175" s="64" t="s">
        <v>196</v>
      </c>
      <c r="B175" s="65" t="s">
        <v>170</v>
      </c>
      <c r="C175" s="66"/>
      <c r="D175" s="66"/>
      <c r="E175" s="66"/>
      <c r="F175" s="67" t="s">
        <v>377</v>
      </c>
      <c r="G175" s="68"/>
      <c r="H175" s="224">
        <v>9377062.8599999994</v>
      </c>
      <c r="I175" s="31" t="str">
        <f t="shared" si="2"/>
        <v>-</v>
      </c>
    </row>
    <row r="176" spans="1:9" ht="31.5" hidden="1" x14ac:dyDescent="0.25">
      <c r="A176" s="64" t="s">
        <v>200</v>
      </c>
      <c r="B176" s="65" t="s">
        <v>170</v>
      </c>
      <c r="C176" s="66"/>
      <c r="D176" s="66"/>
      <c r="E176" s="66"/>
      <c r="F176" s="67" t="s">
        <v>378</v>
      </c>
      <c r="G176" s="68"/>
      <c r="H176" s="224">
        <v>9377062.8599999994</v>
      </c>
      <c r="I176" s="31" t="str">
        <f t="shared" si="2"/>
        <v>-</v>
      </c>
    </row>
    <row r="177" spans="1:9" ht="31.5" hidden="1" x14ac:dyDescent="0.25">
      <c r="A177" s="64" t="s">
        <v>379</v>
      </c>
      <c r="B177" s="65" t="s">
        <v>170</v>
      </c>
      <c r="C177" s="66"/>
      <c r="D177" s="66"/>
      <c r="E177" s="66"/>
      <c r="F177" s="67" t="s">
        <v>380</v>
      </c>
      <c r="G177" s="68"/>
      <c r="H177" s="224">
        <v>19486</v>
      </c>
      <c r="I177" s="31" t="str">
        <f t="shared" si="2"/>
        <v>-</v>
      </c>
    </row>
    <row r="178" spans="1:9" ht="31.5" hidden="1" x14ac:dyDescent="0.25">
      <c r="A178" s="64" t="s">
        <v>196</v>
      </c>
      <c r="B178" s="65" t="s">
        <v>170</v>
      </c>
      <c r="C178" s="66"/>
      <c r="D178" s="66"/>
      <c r="E178" s="66"/>
      <c r="F178" s="67" t="s">
        <v>381</v>
      </c>
      <c r="G178" s="68"/>
      <c r="H178" s="224">
        <v>19486</v>
      </c>
      <c r="I178" s="31" t="str">
        <f t="shared" si="2"/>
        <v>-</v>
      </c>
    </row>
    <row r="179" spans="1:9" ht="31.5" hidden="1" x14ac:dyDescent="0.25">
      <c r="A179" s="64" t="s">
        <v>200</v>
      </c>
      <c r="B179" s="65" t="s">
        <v>170</v>
      </c>
      <c r="C179" s="66"/>
      <c r="D179" s="66"/>
      <c r="E179" s="66"/>
      <c r="F179" s="67" t="s">
        <v>382</v>
      </c>
      <c r="G179" s="68"/>
      <c r="H179" s="224">
        <v>19486</v>
      </c>
      <c r="I179" s="31" t="str">
        <f t="shared" si="2"/>
        <v>-</v>
      </c>
    </row>
    <row r="180" spans="1:9" ht="31.5" hidden="1" x14ac:dyDescent="0.25">
      <c r="A180" s="59" t="s">
        <v>371</v>
      </c>
      <c r="B180" s="60" t="s">
        <v>170</v>
      </c>
      <c r="C180" s="61"/>
      <c r="D180" s="61"/>
      <c r="E180" s="61"/>
      <c r="F180" s="62" t="s">
        <v>383</v>
      </c>
      <c r="G180" s="63"/>
      <c r="H180" s="218">
        <v>2799957.1</v>
      </c>
      <c r="I180" s="29" t="str">
        <f t="shared" si="2"/>
        <v>-</v>
      </c>
    </row>
    <row r="181" spans="1:9" ht="31.5" hidden="1" x14ac:dyDescent="0.25">
      <c r="A181" s="64" t="s">
        <v>178</v>
      </c>
      <c r="B181" s="65" t="s">
        <v>170</v>
      </c>
      <c r="C181" s="66"/>
      <c r="D181" s="66"/>
      <c r="E181" s="66"/>
      <c r="F181" s="67" t="s">
        <v>384</v>
      </c>
      <c r="G181" s="68"/>
      <c r="H181" s="224">
        <v>2799957.1</v>
      </c>
      <c r="I181" s="31" t="str">
        <f t="shared" si="2"/>
        <v>-</v>
      </c>
    </row>
    <row r="182" spans="1:9" ht="47.25" hidden="1" x14ac:dyDescent="0.25">
      <c r="A182" s="64" t="s">
        <v>375</v>
      </c>
      <c r="B182" s="65" t="s">
        <v>170</v>
      </c>
      <c r="C182" s="66"/>
      <c r="D182" s="66"/>
      <c r="E182" s="66"/>
      <c r="F182" s="67" t="s">
        <v>385</v>
      </c>
      <c r="G182" s="68"/>
      <c r="H182" s="224">
        <v>2799957.1</v>
      </c>
      <c r="I182" s="31" t="str">
        <f t="shared" si="2"/>
        <v>-</v>
      </c>
    </row>
    <row r="183" spans="1:9" ht="31.5" hidden="1" x14ac:dyDescent="0.25">
      <c r="A183" s="64" t="s">
        <v>196</v>
      </c>
      <c r="B183" s="65" t="s">
        <v>170</v>
      </c>
      <c r="C183" s="66"/>
      <c r="D183" s="66"/>
      <c r="E183" s="66"/>
      <c r="F183" s="67" t="s">
        <v>386</v>
      </c>
      <c r="G183" s="68"/>
      <c r="H183" s="224">
        <v>2799957.1</v>
      </c>
      <c r="I183" s="31" t="str">
        <f t="shared" si="2"/>
        <v>-</v>
      </c>
    </row>
    <row r="184" spans="1:9" ht="31.5" hidden="1" x14ac:dyDescent="0.25">
      <c r="A184" s="64" t="s">
        <v>200</v>
      </c>
      <c r="B184" s="65" t="s">
        <v>170</v>
      </c>
      <c r="C184" s="66"/>
      <c r="D184" s="66"/>
      <c r="E184" s="66"/>
      <c r="F184" s="67" t="s">
        <v>387</v>
      </c>
      <c r="G184" s="68"/>
      <c r="H184" s="224">
        <v>2799957.1</v>
      </c>
      <c r="I184" s="31" t="str">
        <f t="shared" si="2"/>
        <v>-</v>
      </c>
    </row>
    <row r="185" spans="1:9" ht="21" customHeight="1" thickBot="1" x14ac:dyDescent="0.3">
      <c r="A185" s="59" t="s">
        <v>388</v>
      </c>
      <c r="B185" s="60" t="s">
        <v>170</v>
      </c>
      <c r="C185" s="61" t="s">
        <v>549</v>
      </c>
      <c r="D185" s="61"/>
      <c r="E185" s="61"/>
      <c r="F185" s="62" t="s">
        <v>541</v>
      </c>
      <c r="G185" s="63"/>
      <c r="H185" s="218">
        <f>36042151.44/1000</f>
        <v>36042.151439999994</v>
      </c>
      <c r="I185" s="29" t="str">
        <f t="shared" si="2"/>
        <v>-</v>
      </c>
    </row>
    <row r="186" spans="1:9" ht="32.25" hidden="1" thickBot="1" x14ac:dyDescent="0.3">
      <c r="A186" s="80" t="s">
        <v>388</v>
      </c>
      <c r="B186" s="81" t="s">
        <v>170</v>
      </c>
      <c r="C186" s="82"/>
      <c r="D186" s="82"/>
      <c r="E186" s="82"/>
      <c r="F186" s="83" t="s">
        <v>389</v>
      </c>
      <c r="G186" s="84"/>
      <c r="H186" s="227">
        <v>34042151.439999998</v>
      </c>
      <c r="I186" s="29" t="str">
        <f t="shared" si="2"/>
        <v>-</v>
      </c>
    </row>
    <row r="187" spans="1:9" ht="63.75" hidden="1" thickBot="1" x14ac:dyDescent="0.3">
      <c r="A187" s="64" t="s">
        <v>390</v>
      </c>
      <c r="B187" s="65" t="s">
        <v>170</v>
      </c>
      <c r="C187" s="66"/>
      <c r="D187" s="66"/>
      <c r="E187" s="66"/>
      <c r="F187" s="67" t="s">
        <v>391</v>
      </c>
      <c r="G187" s="68"/>
      <c r="H187" s="224">
        <v>34042151.439999998</v>
      </c>
      <c r="I187" s="31" t="str">
        <f t="shared" si="2"/>
        <v>-</v>
      </c>
    </row>
    <row r="188" spans="1:9" ht="48" hidden="1" thickBot="1" x14ac:dyDescent="0.3">
      <c r="A188" s="64" t="s">
        <v>392</v>
      </c>
      <c r="B188" s="65" t="s">
        <v>170</v>
      </c>
      <c r="C188" s="66"/>
      <c r="D188" s="66"/>
      <c r="E188" s="66"/>
      <c r="F188" s="67" t="s">
        <v>393</v>
      </c>
      <c r="G188" s="68"/>
      <c r="H188" s="224">
        <v>12542563.17</v>
      </c>
      <c r="I188" s="31" t="str">
        <f t="shared" si="2"/>
        <v>-</v>
      </c>
    </row>
    <row r="189" spans="1:9" ht="32.25" hidden="1" thickBot="1" x14ac:dyDescent="0.3">
      <c r="A189" s="64" t="s">
        <v>196</v>
      </c>
      <c r="B189" s="65" t="s">
        <v>170</v>
      </c>
      <c r="C189" s="66"/>
      <c r="D189" s="66"/>
      <c r="E189" s="66"/>
      <c r="F189" s="67" t="s">
        <v>394</v>
      </c>
      <c r="G189" s="68"/>
      <c r="H189" s="224">
        <v>12542563.17</v>
      </c>
      <c r="I189" s="31" t="str">
        <f t="shared" si="2"/>
        <v>-</v>
      </c>
    </row>
    <row r="190" spans="1:9" ht="32.25" hidden="1" thickBot="1" x14ac:dyDescent="0.3">
      <c r="A190" s="64" t="s">
        <v>200</v>
      </c>
      <c r="B190" s="65" t="s">
        <v>170</v>
      </c>
      <c r="C190" s="66"/>
      <c r="D190" s="66"/>
      <c r="E190" s="66"/>
      <c r="F190" s="67" t="s">
        <v>395</v>
      </c>
      <c r="G190" s="68"/>
      <c r="H190" s="224">
        <v>12542563.17</v>
      </c>
      <c r="I190" s="31" t="str">
        <f t="shared" si="2"/>
        <v>-</v>
      </c>
    </row>
    <row r="191" spans="1:9" ht="48" hidden="1" thickBot="1" x14ac:dyDescent="0.3">
      <c r="A191" s="64" t="s">
        <v>396</v>
      </c>
      <c r="B191" s="65" t="s">
        <v>170</v>
      </c>
      <c r="C191" s="66"/>
      <c r="D191" s="66"/>
      <c r="E191" s="66"/>
      <c r="F191" s="67" t="s">
        <v>397</v>
      </c>
      <c r="G191" s="68"/>
      <c r="H191" s="224">
        <v>21499588.27</v>
      </c>
      <c r="I191" s="31" t="str">
        <f t="shared" si="2"/>
        <v>-</v>
      </c>
    </row>
    <row r="192" spans="1:9" ht="32.25" hidden="1" thickBot="1" x14ac:dyDescent="0.3">
      <c r="A192" s="64" t="s">
        <v>196</v>
      </c>
      <c r="B192" s="65" t="s">
        <v>170</v>
      </c>
      <c r="C192" s="66"/>
      <c r="D192" s="66"/>
      <c r="E192" s="66"/>
      <c r="F192" s="67" t="s">
        <v>398</v>
      </c>
      <c r="G192" s="68"/>
      <c r="H192" s="224">
        <v>21499588.27</v>
      </c>
      <c r="I192" s="31" t="str">
        <f t="shared" si="2"/>
        <v>-</v>
      </c>
    </row>
    <row r="193" spans="1:9" ht="32.25" hidden="1" thickBot="1" x14ac:dyDescent="0.3">
      <c r="A193" s="64" t="s">
        <v>200</v>
      </c>
      <c r="B193" s="65" t="s">
        <v>170</v>
      </c>
      <c r="C193" s="66"/>
      <c r="D193" s="66"/>
      <c r="E193" s="66"/>
      <c r="F193" s="67" t="s">
        <v>399</v>
      </c>
      <c r="G193" s="68"/>
      <c r="H193" s="224">
        <v>21499588.27</v>
      </c>
      <c r="I193" s="31" t="str">
        <f t="shared" si="2"/>
        <v>-</v>
      </c>
    </row>
    <row r="194" spans="1:9" ht="32.25" hidden="1" thickBot="1" x14ac:dyDescent="0.3">
      <c r="A194" s="80" t="s">
        <v>388</v>
      </c>
      <c r="B194" s="81" t="s">
        <v>170</v>
      </c>
      <c r="C194" s="82"/>
      <c r="D194" s="82"/>
      <c r="E194" s="82"/>
      <c r="F194" s="83" t="s">
        <v>400</v>
      </c>
      <c r="G194" s="84"/>
      <c r="H194" s="227">
        <v>2000000</v>
      </c>
      <c r="I194" s="29" t="str">
        <f t="shared" si="2"/>
        <v>-</v>
      </c>
    </row>
    <row r="195" spans="1:9" ht="32.25" hidden="1" thickBot="1" x14ac:dyDescent="0.3">
      <c r="A195" s="64" t="s">
        <v>178</v>
      </c>
      <c r="B195" s="65" t="s">
        <v>170</v>
      </c>
      <c r="C195" s="66"/>
      <c r="D195" s="66"/>
      <c r="E195" s="66"/>
      <c r="F195" s="67" t="s">
        <v>401</v>
      </c>
      <c r="G195" s="68"/>
      <c r="H195" s="224">
        <v>2000000</v>
      </c>
      <c r="I195" s="31" t="str">
        <f t="shared" si="2"/>
        <v>-</v>
      </c>
    </row>
    <row r="196" spans="1:9" ht="32.25" hidden="1" thickBot="1" x14ac:dyDescent="0.3">
      <c r="A196" s="64" t="s">
        <v>402</v>
      </c>
      <c r="B196" s="65" t="s">
        <v>170</v>
      </c>
      <c r="C196" s="66"/>
      <c r="D196" s="66"/>
      <c r="E196" s="66"/>
      <c r="F196" s="67" t="s">
        <v>403</v>
      </c>
      <c r="G196" s="68"/>
      <c r="H196" s="224">
        <v>2000000</v>
      </c>
      <c r="I196" s="31" t="str">
        <f t="shared" si="2"/>
        <v>-</v>
      </c>
    </row>
    <row r="197" spans="1:9" ht="32.25" hidden="1" thickBot="1" x14ac:dyDescent="0.3">
      <c r="A197" s="64" t="s">
        <v>196</v>
      </c>
      <c r="B197" s="65" t="s">
        <v>170</v>
      </c>
      <c r="C197" s="66"/>
      <c r="D197" s="66"/>
      <c r="E197" s="66"/>
      <c r="F197" s="67" t="s">
        <v>404</v>
      </c>
      <c r="G197" s="68"/>
      <c r="H197" s="224">
        <v>2000000</v>
      </c>
      <c r="I197" s="31" t="str">
        <f t="shared" si="2"/>
        <v>-</v>
      </c>
    </row>
    <row r="198" spans="1:9" ht="32.25" hidden="1" thickBot="1" x14ac:dyDescent="0.3">
      <c r="A198" s="69" t="s">
        <v>200</v>
      </c>
      <c r="B198" s="71" t="s">
        <v>170</v>
      </c>
      <c r="C198" s="72"/>
      <c r="D198" s="72"/>
      <c r="E198" s="72"/>
      <c r="F198" s="73" t="s">
        <v>405</v>
      </c>
      <c r="G198" s="74"/>
      <c r="H198" s="225">
        <v>2000000</v>
      </c>
      <c r="I198" s="31" t="str">
        <f t="shared" si="2"/>
        <v>-</v>
      </c>
    </row>
    <row r="199" spans="1:9" ht="24" customHeight="1" thickBot="1" x14ac:dyDescent="0.3">
      <c r="A199" s="54" t="s">
        <v>406</v>
      </c>
      <c r="B199" s="55" t="s">
        <v>170</v>
      </c>
      <c r="C199" s="56" t="s">
        <v>544</v>
      </c>
      <c r="D199" s="56"/>
      <c r="E199" s="56"/>
      <c r="F199" s="57" t="s">
        <v>539</v>
      </c>
      <c r="G199" s="58"/>
      <c r="H199" s="215">
        <f>199999.91/1000</f>
        <v>199.99991</v>
      </c>
      <c r="I199" s="29" t="str">
        <f t="shared" si="2"/>
        <v>-</v>
      </c>
    </row>
    <row r="200" spans="1:9" ht="19.5" customHeight="1" thickBot="1" x14ac:dyDescent="0.3">
      <c r="A200" s="59" t="s">
        <v>407</v>
      </c>
      <c r="B200" s="60" t="s">
        <v>170</v>
      </c>
      <c r="C200" s="61" t="s">
        <v>544</v>
      </c>
      <c r="D200" s="61"/>
      <c r="E200" s="61"/>
      <c r="F200" s="62" t="s">
        <v>544</v>
      </c>
      <c r="G200" s="63"/>
      <c r="H200" s="218">
        <f>199999.91/1000</f>
        <v>199.99991</v>
      </c>
      <c r="I200" s="29" t="str">
        <f t="shared" si="2"/>
        <v>-</v>
      </c>
    </row>
    <row r="201" spans="1:9" ht="32.25" hidden="1" thickBot="1" x14ac:dyDescent="0.3">
      <c r="A201" s="80" t="s">
        <v>407</v>
      </c>
      <c r="B201" s="81" t="s">
        <v>170</v>
      </c>
      <c r="C201" s="82"/>
      <c r="D201" s="82"/>
      <c r="E201" s="82"/>
      <c r="F201" s="83" t="s">
        <v>408</v>
      </c>
      <c r="G201" s="84"/>
      <c r="H201" s="227">
        <v>199999.91</v>
      </c>
      <c r="I201" s="29" t="str">
        <f t="shared" si="2"/>
        <v>-</v>
      </c>
    </row>
    <row r="202" spans="1:9" ht="32.25" hidden="1" thickBot="1" x14ac:dyDescent="0.3">
      <c r="A202" s="64" t="s">
        <v>409</v>
      </c>
      <c r="B202" s="65" t="s">
        <v>170</v>
      </c>
      <c r="C202" s="66"/>
      <c r="D202" s="66"/>
      <c r="E202" s="66"/>
      <c r="F202" s="67" t="s">
        <v>410</v>
      </c>
      <c r="G202" s="68"/>
      <c r="H202" s="224">
        <v>199999.91</v>
      </c>
      <c r="I202" s="31" t="str">
        <f t="shared" si="2"/>
        <v>-</v>
      </c>
    </row>
    <row r="203" spans="1:9" ht="32.25" hidden="1" thickBot="1" x14ac:dyDescent="0.3">
      <c r="A203" s="64" t="s">
        <v>411</v>
      </c>
      <c r="B203" s="65" t="s">
        <v>170</v>
      </c>
      <c r="C203" s="66"/>
      <c r="D203" s="66"/>
      <c r="E203" s="66"/>
      <c r="F203" s="67" t="s">
        <v>412</v>
      </c>
      <c r="G203" s="68"/>
      <c r="H203" s="224">
        <v>199999.91</v>
      </c>
      <c r="I203" s="31" t="str">
        <f t="shared" si="2"/>
        <v>-</v>
      </c>
    </row>
    <row r="204" spans="1:9" ht="32.25" hidden="1" thickBot="1" x14ac:dyDescent="0.3">
      <c r="A204" s="64" t="s">
        <v>196</v>
      </c>
      <c r="B204" s="65" t="s">
        <v>170</v>
      </c>
      <c r="C204" s="66"/>
      <c r="D204" s="66"/>
      <c r="E204" s="66"/>
      <c r="F204" s="67" t="s">
        <v>413</v>
      </c>
      <c r="G204" s="68"/>
      <c r="H204" s="224">
        <v>199999.91</v>
      </c>
      <c r="I204" s="31" t="str">
        <f t="shared" si="2"/>
        <v>-</v>
      </c>
    </row>
    <row r="205" spans="1:9" ht="32.25" hidden="1" thickBot="1" x14ac:dyDescent="0.3">
      <c r="A205" s="69" t="s">
        <v>200</v>
      </c>
      <c r="B205" s="71" t="s">
        <v>170</v>
      </c>
      <c r="C205" s="72"/>
      <c r="D205" s="72"/>
      <c r="E205" s="72"/>
      <c r="F205" s="73" t="s">
        <v>414</v>
      </c>
      <c r="G205" s="74"/>
      <c r="H205" s="225">
        <v>199999.91</v>
      </c>
      <c r="I205" s="31" t="str">
        <f t="shared" si="2"/>
        <v>-</v>
      </c>
    </row>
    <row r="206" spans="1:9" ht="24" customHeight="1" thickBot="1" x14ac:dyDescent="0.3">
      <c r="A206" s="54" t="s">
        <v>415</v>
      </c>
      <c r="B206" s="55" t="s">
        <v>170</v>
      </c>
      <c r="C206" s="56" t="s">
        <v>550</v>
      </c>
      <c r="D206" s="56"/>
      <c r="E206" s="56"/>
      <c r="F206" s="57" t="s">
        <v>539</v>
      </c>
      <c r="G206" s="58"/>
      <c r="H206" s="215">
        <f>9813659.82/1000</f>
        <v>9813.6598200000008</v>
      </c>
      <c r="I206" s="29" t="str">
        <f t="shared" si="2"/>
        <v>-</v>
      </c>
    </row>
    <row r="207" spans="1:9" ht="15" customHeight="1" x14ac:dyDescent="0.25">
      <c r="A207" s="59" t="s">
        <v>416</v>
      </c>
      <c r="B207" s="60" t="s">
        <v>170</v>
      </c>
      <c r="C207" s="61" t="s">
        <v>550</v>
      </c>
      <c r="D207" s="61"/>
      <c r="E207" s="61"/>
      <c r="F207" s="62" t="s">
        <v>538</v>
      </c>
      <c r="G207" s="63"/>
      <c r="H207" s="218">
        <f>9072668.42/1000</f>
        <v>9072.66842</v>
      </c>
      <c r="I207" s="29" t="str">
        <f t="shared" si="2"/>
        <v>-</v>
      </c>
    </row>
    <row r="208" spans="1:9" ht="31.5" hidden="1" x14ac:dyDescent="0.25">
      <c r="A208" s="80" t="s">
        <v>416</v>
      </c>
      <c r="B208" s="81" t="s">
        <v>170</v>
      </c>
      <c r="C208" s="82"/>
      <c r="D208" s="82"/>
      <c r="E208" s="82"/>
      <c r="F208" s="83" t="s">
        <v>417</v>
      </c>
      <c r="G208" s="84"/>
      <c r="H208" s="227">
        <v>7880668.4199999999</v>
      </c>
      <c r="I208" s="29" t="str">
        <f t="shared" si="2"/>
        <v>-</v>
      </c>
    </row>
    <row r="209" spans="1:9" ht="31.5" hidden="1" x14ac:dyDescent="0.25">
      <c r="A209" s="64" t="s">
        <v>418</v>
      </c>
      <c r="B209" s="65" t="s">
        <v>170</v>
      </c>
      <c r="C209" s="66"/>
      <c r="D209" s="66"/>
      <c r="E209" s="66"/>
      <c r="F209" s="67" t="s">
        <v>419</v>
      </c>
      <c r="G209" s="68"/>
      <c r="H209" s="224">
        <v>7880668.4199999999</v>
      </c>
      <c r="I209" s="31" t="str">
        <f t="shared" si="2"/>
        <v>-</v>
      </c>
    </row>
    <row r="210" spans="1:9" ht="31.5" hidden="1" x14ac:dyDescent="0.25">
      <c r="A210" s="64" t="s">
        <v>420</v>
      </c>
      <c r="B210" s="65" t="s">
        <v>170</v>
      </c>
      <c r="C210" s="66"/>
      <c r="D210" s="66"/>
      <c r="E210" s="66"/>
      <c r="F210" s="67" t="s">
        <v>421</v>
      </c>
      <c r="G210" s="68"/>
      <c r="H210" s="224">
        <v>7880668.4199999999</v>
      </c>
      <c r="I210" s="31" t="str">
        <f t="shared" ref="I210:I253" si="3">IF(OR(G210="-",IF(H210="-",0,H210)&gt;=IF(G210="-",0,G210)),"-",IF(G210="-",0,G210)-IF(H210="-",0,H210))</f>
        <v>-</v>
      </c>
    </row>
    <row r="211" spans="1:9" ht="31.5" hidden="1" x14ac:dyDescent="0.25">
      <c r="A211" s="64" t="s">
        <v>422</v>
      </c>
      <c r="B211" s="65" t="s">
        <v>170</v>
      </c>
      <c r="C211" s="66"/>
      <c r="D211" s="66"/>
      <c r="E211" s="66"/>
      <c r="F211" s="67" t="s">
        <v>423</v>
      </c>
      <c r="G211" s="68"/>
      <c r="H211" s="224">
        <v>5040315.01</v>
      </c>
      <c r="I211" s="31" t="str">
        <f t="shared" si="3"/>
        <v>-</v>
      </c>
    </row>
    <row r="212" spans="1:9" ht="31.5" hidden="1" x14ac:dyDescent="0.25">
      <c r="A212" s="64" t="s">
        <v>424</v>
      </c>
      <c r="B212" s="65" t="s">
        <v>170</v>
      </c>
      <c r="C212" s="66"/>
      <c r="D212" s="66"/>
      <c r="E212" s="66"/>
      <c r="F212" s="67" t="s">
        <v>425</v>
      </c>
      <c r="G212" s="68"/>
      <c r="H212" s="224">
        <v>3871779.36</v>
      </c>
      <c r="I212" s="31" t="str">
        <f t="shared" si="3"/>
        <v>-</v>
      </c>
    </row>
    <row r="213" spans="1:9" ht="31.5" hidden="1" x14ac:dyDescent="0.25">
      <c r="A213" s="64" t="s">
        <v>426</v>
      </c>
      <c r="B213" s="65" t="s">
        <v>170</v>
      </c>
      <c r="C213" s="66"/>
      <c r="D213" s="66"/>
      <c r="E213" s="66"/>
      <c r="F213" s="67" t="s">
        <v>427</v>
      </c>
      <c r="G213" s="68"/>
      <c r="H213" s="224">
        <v>153.33000000000001</v>
      </c>
      <c r="I213" s="31" t="str">
        <f t="shared" si="3"/>
        <v>-</v>
      </c>
    </row>
    <row r="214" spans="1:9" ht="47.25" hidden="1" x14ac:dyDescent="0.25">
      <c r="A214" s="64" t="s">
        <v>428</v>
      </c>
      <c r="B214" s="65" t="s">
        <v>170</v>
      </c>
      <c r="C214" s="66"/>
      <c r="D214" s="66"/>
      <c r="E214" s="66"/>
      <c r="F214" s="67" t="s">
        <v>429</v>
      </c>
      <c r="G214" s="68"/>
      <c r="H214" s="224">
        <v>1168382.32</v>
      </c>
      <c r="I214" s="31" t="str">
        <f t="shared" si="3"/>
        <v>-</v>
      </c>
    </row>
    <row r="215" spans="1:9" ht="31.5" hidden="1" x14ac:dyDescent="0.25">
      <c r="A215" s="64" t="s">
        <v>196</v>
      </c>
      <c r="B215" s="65" t="s">
        <v>170</v>
      </c>
      <c r="C215" s="66"/>
      <c r="D215" s="66"/>
      <c r="E215" s="66"/>
      <c r="F215" s="67" t="s">
        <v>430</v>
      </c>
      <c r="G215" s="68"/>
      <c r="H215" s="224">
        <v>2840353.41</v>
      </c>
      <c r="I215" s="31" t="str">
        <f t="shared" si="3"/>
        <v>-</v>
      </c>
    </row>
    <row r="216" spans="1:9" ht="31.5" hidden="1" x14ac:dyDescent="0.25">
      <c r="A216" s="64" t="s">
        <v>198</v>
      </c>
      <c r="B216" s="65" t="s">
        <v>170</v>
      </c>
      <c r="C216" s="66"/>
      <c r="D216" s="66"/>
      <c r="E216" s="66"/>
      <c r="F216" s="67" t="s">
        <v>431</v>
      </c>
      <c r="G216" s="68"/>
      <c r="H216" s="224">
        <v>35570</v>
      </c>
      <c r="I216" s="31" t="str">
        <f t="shared" si="3"/>
        <v>-</v>
      </c>
    </row>
    <row r="217" spans="1:9" ht="31.5" hidden="1" x14ac:dyDescent="0.25">
      <c r="A217" s="64" t="s">
        <v>200</v>
      </c>
      <c r="B217" s="65" t="s">
        <v>170</v>
      </c>
      <c r="C217" s="66"/>
      <c r="D217" s="66"/>
      <c r="E217" s="66"/>
      <c r="F217" s="67" t="s">
        <v>432</v>
      </c>
      <c r="G217" s="68"/>
      <c r="H217" s="224">
        <v>2804783.41</v>
      </c>
      <c r="I217" s="31" t="str">
        <f t="shared" si="3"/>
        <v>-</v>
      </c>
    </row>
    <row r="218" spans="1:9" ht="31.5" hidden="1" x14ac:dyDescent="0.25">
      <c r="A218" s="64" t="s">
        <v>202</v>
      </c>
      <c r="B218" s="65" t="s">
        <v>170</v>
      </c>
      <c r="C218" s="66"/>
      <c r="D218" s="66"/>
      <c r="E218" s="66"/>
      <c r="F218" s="67" t="s">
        <v>433</v>
      </c>
      <c r="G218" s="68"/>
      <c r="H218" s="224" t="s">
        <v>21</v>
      </c>
      <c r="I218" s="31" t="str">
        <f t="shared" si="3"/>
        <v>-</v>
      </c>
    </row>
    <row r="219" spans="1:9" ht="31.5" hidden="1" x14ac:dyDescent="0.25">
      <c r="A219" s="64" t="s">
        <v>204</v>
      </c>
      <c r="B219" s="65" t="s">
        <v>170</v>
      </c>
      <c r="C219" s="66"/>
      <c r="D219" s="66"/>
      <c r="E219" s="66"/>
      <c r="F219" s="67" t="s">
        <v>434</v>
      </c>
      <c r="G219" s="68"/>
      <c r="H219" s="224" t="s">
        <v>21</v>
      </c>
      <c r="I219" s="31" t="str">
        <f t="shared" si="3"/>
        <v>-</v>
      </c>
    </row>
    <row r="220" spans="1:9" ht="31.5" hidden="1" x14ac:dyDescent="0.25">
      <c r="A220" s="80" t="s">
        <v>416</v>
      </c>
      <c r="B220" s="81" t="s">
        <v>170</v>
      </c>
      <c r="C220" s="82"/>
      <c r="D220" s="82"/>
      <c r="E220" s="82"/>
      <c r="F220" s="83" t="s">
        <v>435</v>
      </c>
      <c r="G220" s="84"/>
      <c r="H220" s="227">
        <v>1192000</v>
      </c>
      <c r="I220" s="29" t="str">
        <f t="shared" si="3"/>
        <v>-</v>
      </c>
    </row>
    <row r="221" spans="1:9" ht="31.5" hidden="1" x14ac:dyDescent="0.25">
      <c r="A221" s="64" t="s">
        <v>178</v>
      </c>
      <c r="B221" s="65" t="s">
        <v>170</v>
      </c>
      <c r="C221" s="66"/>
      <c r="D221" s="66"/>
      <c r="E221" s="66"/>
      <c r="F221" s="67" t="s">
        <v>436</v>
      </c>
      <c r="G221" s="68"/>
      <c r="H221" s="224">
        <v>1192000</v>
      </c>
      <c r="I221" s="31" t="str">
        <f t="shared" si="3"/>
        <v>-</v>
      </c>
    </row>
    <row r="222" spans="1:9" ht="31.5" hidden="1" x14ac:dyDescent="0.25">
      <c r="A222" s="64" t="s">
        <v>437</v>
      </c>
      <c r="B222" s="65" t="s">
        <v>170</v>
      </c>
      <c r="C222" s="66"/>
      <c r="D222" s="66"/>
      <c r="E222" s="66"/>
      <c r="F222" s="67" t="s">
        <v>438</v>
      </c>
      <c r="G222" s="68"/>
      <c r="H222" s="224">
        <v>685000</v>
      </c>
      <c r="I222" s="31" t="str">
        <f t="shared" si="3"/>
        <v>-</v>
      </c>
    </row>
    <row r="223" spans="1:9" ht="31.5" hidden="1" x14ac:dyDescent="0.25">
      <c r="A223" s="64" t="s">
        <v>196</v>
      </c>
      <c r="B223" s="65" t="s">
        <v>170</v>
      </c>
      <c r="C223" s="66"/>
      <c r="D223" s="66"/>
      <c r="E223" s="66"/>
      <c r="F223" s="67" t="s">
        <v>439</v>
      </c>
      <c r="G223" s="68"/>
      <c r="H223" s="224">
        <v>685000</v>
      </c>
      <c r="I223" s="31" t="str">
        <f t="shared" si="3"/>
        <v>-</v>
      </c>
    </row>
    <row r="224" spans="1:9" ht="31.5" hidden="1" x14ac:dyDescent="0.25">
      <c r="A224" s="64" t="s">
        <v>200</v>
      </c>
      <c r="B224" s="65" t="s">
        <v>170</v>
      </c>
      <c r="C224" s="66"/>
      <c r="D224" s="66"/>
      <c r="E224" s="66"/>
      <c r="F224" s="67" t="s">
        <v>440</v>
      </c>
      <c r="G224" s="68"/>
      <c r="H224" s="224">
        <v>685000</v>
      </c>
      <c r="I224" s="31" t="str">
        <f t="shared" si="3"/>
        <v>-</v>
      </c>
    </row>
    <row r="225" spans="1:9" ht="31.5" hidden="1" x14ac:dyDescent="0.25">
      <c r="A225" s="64" t="s">
        <v>441</v>
      </c>
      <c r="B225" s="65" t="s">
        <v>170</v>
      </c>
      <c r="C225" s="66"/>
      <c r="D225" s="66"/>
      <c r="E225" s="66"/>
      <c r="F225" s="67" t="s">
        <v>442</v>
      </c>
      <c r="G225" s="68"/>
      <c r="H225" s="224">
        <v>507000</v>
      </c>
      <c r="I225" s="31" t="str">
        <f t="shared" si="3"/>
        <v>-</v>
      </c>
    </row>
    <row r="226" spans="1:9" ht="31.5" hidden="1" x14ac:dyDescent="0.25">
      <c r="A226" s="64" t="s">
        <v>422</v>
      </c>
      <c r="B226" s="65" t="s">
        <v>170</v>
      </c>
      <c r="C226" s="66"/>
      <c r="D226" s="66"/>
      <c r="E226" s="66"/>
      <c r="F226" s="67" t="s">
        <v>443</v>
      </c>
      <c r="G226" s="68"/>
      <c r="H226" s="224">
        <v>507000</v>
      </c>
      <c r="I226" s="31" t="str">
        <f t="shared" si="3"/>
        <v>-</v>
      </c>
    </row>
    <row r="227" spans="1:9" ht="31.5" hidden="1" x14ac:dyDescent="0.25">
      <c r="A227" s="64" t="s">
        <v>424</v>
      </c>
      <c r="B227" s="65" t="s">
        <v>170</v>
      </c>
      <c r="C227" s="66"/>
      <c r="D227" s="66"/>
      <c r="E227" s="66"/>
      <c r="F227" s="67" t="s">
        <v>444</v>
      </c>
      <c r="G227" s="68"/>
      <c r="H227" s="224">
        <v>389400.49</v>
      </c>
      <c r="I227" s="31" t="str">
        <f t="shared" si="3"/>
        <v>-</v>
      </c>
    </row>
    <row r="228" spans="1:9" ht="47.25" hidden="1" x14ac:dyDescent="0.25">
      <c r="A228" s="69" t="s">
        <v>428</v>
      </c>
      <c r="B228" s="65" t="s">
        <v>170</v>
      </c>
      <c r="C228" s="66"/>
      <c r="D228" s="66"/>
      <c r="E228" s="66"/>
      <c r="F228" s="67" t="s">
        <v>445</v>
      </c>
      <c r="G228" s="68"/>
      <c r="H228" s="224">
        <v>117599.51</v>
      </c>
      <c r="I228" s="31" t="str">
        <f t="shared" si="3"/>
        <v>-</v>
      </c>
    </row>
    <row r="229" spans="1:9" ht="20.25" customHeight="1" thickBot="1" x14ac:dyDescent="0.3">
      <c r="A229" s="70" t="s">
        <v>446</v>
      </c>
      <c r="B229" s="60" t="s">
        <v>170</v>
      </c>
      <c r="C229" s="61" t="s">
        <v>550</v>
      </c>
      <c r="D229" s="61"/>
      <c r="E229" s="61"/>
      <c r="F229" s="62" t="s">
        <v>542</v>
      </c>
      <c r="G229" s="63"/>
      <c r="H229" s="218">
        <f>740991.4/1000</f>
        <v>740.9914</v>
      </c>
      <c r="I229" s="29" t="str">
        <f t="shared" si="3"/>
        <v>-</v>
      </c>
    </row>
    <row r="230" spans="1:9" ht="32.25" hidden="1" thickBot="1" x14ac:dyDescent="0.3">
      <c r="A230" s="80" t="s">
        <v>446</v>
      </c>
      <c r="B230" s="81" t="s">
        <v>170</v>
      </c>
      <c r="C230" s="82"/>
      <c r="D230" s="82"/>
      <c r="E230" s="82"/>
      <c r="F230" s="83" t="s">
        <v>447</v>
      </c>
      <c r="G230" s="84"/>
      <c r="H230" s="227">
        <v>740991.4</v>
      </c>
      <c r="I230" s="29" t="str">
        <f t="shared" si="3"/>
        <v>-</v>
      </c>
    </row>
    <row r="231" spans="1:9" ht="32.25" hidden="1" thickBot="1" x14ac:dyDescent="0.3">
      <c r="A231" s="64" t="s">
        <v>448</v>
      </c>
      <c r="B231" s="65" t="s">
        <v>170</v>
      </c>
      <c r="C231" s="66"/>
      <c r="D231" s="66"/>
      <c r="E231" s="66"/>
      <c r="F231" s="67" t="s">
        <v>449</v>
      </c>
      <c r="G231" s="68"/>
      <c r="H231" s="224">
        <v>740991.4</v>
      </c>
      <c r="I231" s="31" t="str">
        <f t="shared" si="3"/>
        <v>-</v>
      </c>
    </row>
    <row r="232" spans="1:9" ht="32.25" hidden="1" thickBot="1" x14ac:dyDescent="0.3">
      <c r="A232" s="64" t="s">
        <v>450</v>
      </c>
      <c r="B232" s="65" t="s">
        <v>170</v>
      </c>
      <c r="C232" s="66"/>
      <c r="D232" s="66"/>
      <c r="E232" s="66"/>
      <c r="F232" s="67" t="s">
        <v>451</v>
      </c>
      <c r="G232" s="68"/>
      <c r="H232" s="224">
        <v>740991.4</v>
      </c>
      <c r="I232" s="31" t="str">
        <f t="shared" si="3"/>
        <v>-</v>
      </c>
    </row>
    <row r="233" spans="1:9" ht="32.25" hidden="1" thickBot="1" x14ac:dyDescent="0.3">
      <c r="A233" s="64" t="s">
        <v>196</v>
      </c>
      <c r="B233" s="65" t="s">
        <v>170</v>
      </c>
      <c r="C233" s="66"/>
      <c r="D233" s="66"/>
      <c r="E233" s="66"/>
      <c r="F233" s="67" t="s">
        <v>452</v>
      </c>
      <c r="G233" s="68"/>
      <c r="H233" s="224">
        <v>740991.4</v>
      </c>
      <c r="I233" s="31" t="str">
        <f t="shared" si="3"/>
        <v>-</v>
      </c>
    </row>
    <row r="234" spans="1:9" ht="32.25" hidden="1" thickBot="1" x14ac:dyDescent="0.3">
      <c r="A234" s="69" t="s">
        <v>200</v>
      </c>
      <c r="B234" s="71" t="s">
        <v>170</v>
      </c>
      <c r="C234" s="72"/>
      <c r="D234" s="72"/>
      <c r="E234" s="72"/>
      <c r="F234" s="73" t="s">
        <v>453</v>
      </c>
      <c r="G234" s="74"/>
      <c r="H234" s="225">
        <v>740991.4</v>
      </c>
      <c r="I234" s="31" t="str">
        <f t="shared" si="3"/>
        <v>-</v>
      </c>
    </row>
    <row r="235" spans="1:9" ht="23.25" customHeight="1" thickBot="1" x14ac:dyDescent="0.3">
      <c r="A235" s="54" t="s">
        <v>454</v>
      </c>
      <c r="B235" s="55" t="s">
        <v>170</v>
      </c>
      <c r="C235" s="56" t="s">
        <v>551</v>
      </c>
      <c r="D235" s="56"/>
      <c r="E235" s="56"/>
      <c r="F235" s="57" t="s">
        <v>539</v>
      </c>
      <c r="G235" s="58"/>
      <c r="H235" s="215">
        <f>698491.4/1000</f>
        <v>698.4914</v>
      </c>
      <c r="I235" s="29" t="str">
        <f t="shared" si="3"/>
        <v>-</v>
      </c>
    </row>
    <row r="236" spans="1:9" ht="18.75" customHeight="1" thickBot="1" x14ac:dyDescent="0.3">
      <c r="A236" s="59" t="s">
        <v>455</v>
      </c>
      <c r="B236" s="60" t="s">
        <v>170</v>
      </c>
      <c r="C236" s="61" t="s">
        <v>551</v>
      </c>
      <c r="D236" s="61"/>
      <c r="E236" s="61"/>
      <c r="F236" s="62" t="s">
        <v>538</v>
      </c>
      <c r="G236" s="63"/>
      <c r="H236" s="218">
        <f>698491.4/1000</f>
        <v>698.4914</v>
      </c>
      <c r="I236" s="29" t="str">
        <f t="shared" si="3"/>
        <v>-</v>
      </c>
    </row>
    <row r="237" spans="1:9" ht="32.25" hidden="1" thickBot="1" x14ac:dyDescent="0.3">
      <c r="A237" s="80" t="s">
        <v>455</v>
      </c>
      <c r="B237" s="81" t="s">
        <v>170</v>
      </c>
      <c r="C237" s="82"/>
      <c r="D237" s="82"/>
      <c r="E237" s="82"/>
      <c r="F237" s="83" t="s">
        <v>456</v>
      </c>
      <c r="G237" s="84"/>
      <c r="H237" s="227">
        <v>698491.4</v>
      </c>
      <c r="I237" s="29" t="str">
        <f t="shared" si="3"/>
        <v>-</v>
      </c>
    </row>
    <row r="238" spans="1:9" ht="32.25" hidden="1" thickBot="1" x14ac:dyDescent="0.3">
      <c r="A238" s="64" t="s">
        <v>178</v>
      </c>
      <c r="B238" s="65" t="s">
        <v>170</v>
      </c>
      <c r="C238" s="66"/>
      <c r="D238" s="66"/>
      <c r="E238" s="66"/>
      <c r="F238" s="67" t="s">
        <v>457</v>
      </c>
      <c r="G238" s="68"/>
      <c r="H238" s="224">
        <v>698491.4</v>
      </c>
      <c r="I238" s="31" t="str">
        <f t="shared" si="3"/>
        <v>-</v>
      </c>
    </row>
    <row r="239" spans="1:9" ht="32.25" hidden="1" thickBot="1" x14ac:dyDescent="0.3">
      <c r="A239" s="64" t="s">
        <v>458</v>
      </c>
      <c r="B239" s="65" t="s">
        <v>170</v>
      </c>
      <c r="C239" s="66"/>
      <c r="D239" s="66"/>
      <c r="E239" s="66"/>
      <c r="F239" s="67" t="s">
        <v>459</v>
      </c>
      <c r="G239" s="68"/>
      <c r="H239" s="224">
        <v>698491.4</v>
      </c>
      <c r="I239" s="31" t="str">
        <f t="shared" si="3"/>
        <v>-</v>
      </c>
    </row>
    <row r="240" spans="1:9" ht="32.25" hidden="1" thickBot="1" x14ac:dyDescent="0.3">
      <c r="A240" s="64" t="s">
        <v>460</v>
      </c>
      <c r="B240" s="65" t="s">
        <v>170</v>
      </c>
      <c r="C240" s="66"/>
      <c r="D240" s="66"/>
      <c r="E240" s="66"/>
      <c r="F240" s="67" t="s">
        <v>461</v>
      </c>
      <c r="G240" s="68"/>
      <c r="H240" s="224">
        <v>698491.4</v>
      </c>
      <c r="I240" s="31" t="str">
        <f t="shared" si="3"/>
        <v>-</v>
      </c>
    </row>
    <row r="241" spans="1:9" ht="32.25" hidden="1" thickBot="1" x14ac:dyDescent="0.3">
      <c r="A241" s="69" t="s">
        <v>462</v>
      </c>
      <c r="B241" s="71" t="s">
        <v>170</v>
      </c>
      <c r="C241" s="72"/>
      <c r="D241" s="72"/>
      <c r="E241" s="72"/>
      <c r="F241" s="73" t="s">
        <v>463</v>
      </c>
      <c r="G241" s="74"/>
      <c r="H241" s="225">
        <v>698491.4</v>
      </c>
      <c r="I241" s="31" t="str">
        <f t="shared" si="3"/>
        <v>-</v>
      </c>
    </row>
    <row r="242" spans="1:9" ht="21.75" customHeight="1" thickBot="1" x14ac:dyDescent="0.3">
      <c r="A242" s="54" t="s">
        <v>464</v>
      </c>
      <c r="B242" s="55" t="s">
        <v>170</v>
      </c>
      <c r="C242" s="56" t="s">
        <v>552</v>
      </c>
      <c r="D242" s="56"/>
      <c r="E242" s="56"/>
      <c r="F242" s="57" t="s">
        <v>539</v>
      </c>
      <c r="G242" s="58"/>
      <c r="H242" s="215">
        <f>971207.8/1000</f>
        <v>971.20780000000002</v>
      </c>
      <c r="I242" s="29" t="str">
        <f t="shared" si="3"/>
        <v>-</v>
      </c>
    </row>
    <row r="243" spans="1:9" ht="18.75" customHeight="1" thickBot="1" x14ac:dyDescent="0.3">
      <c r="A243" s="86" t="s">
        <v>465</v>
      </c>
      <c r="B243" s="87" t="s">
        <v>170</v>
      </c>
      <c r="C243" s="88" t="s">
        <v>552</v>
      </c>
      <c r="D243" s="88"/>
      <c r="E243" s="88"/>
      <c r="F243" s="89" t="s">
        <v>549</v>
      </c>
      <c r="G243" s="90"/>
      <c r="H243" s="221">
        <f>971207.8/1000</f>
        <v>971.20780000000002</v>
      </c>
      <c r="I243" s="29" t="str">
        <f t="shared" si="3"/>
        <v>-</v>
      </c>
    </row>
    <row r="244" spans="1:9" hidden="1" x14ac:dyDescent="0.2">
      <c r="A244" s="6" t="s">
        <v>465</v>
      </c>
      <c r="B244" s="7" t="s">
        <v>170</v>
      </c>
      <c r="C244" s="22"/>
      <c r="D244" s="22"/>
      <c r="E244" s="22"/>
      <c r="F244" s="8" t="s">
        <v>466</v>
      </c>
      <c r="G244" s="9"/>
      <c r="H244" s="228">
        <v>167707</v>
      </c>
      <c r="I244" s="29" t="str">
        <f t="shared" si="3"/>
        <v>-</v>
      </c>
    </row>
    <row r="245" spans="1:9" ht="22.5" hidden="1" x14ac:dyDescent="0.2">
      <c r="A245" s="4" t="s">
        <v>467</v>
      </c>
      <c r="B245" s="10" t="s">
        <v>170</v>
      </c>
      <c r="C245" s="23"/>
      <c r="D245" s="23"/>
      <c r="E245" s="23"/>
      <c r="F245" s="5" t="s">
        <v>468</v>
      </c>
      <c r="G245" s="11"/>
      <c r="H245" s="229">
        <v>167707</v>
      </c>
      <c r="I245" s="31" t="str">
        <f t="shared" si="3"/>
        <v>-</v>
      </c>
    </row>
    <row r="246" spans="1:9" ht="22.5" hidden="1" x14ac:dyDescent="0.2">
      <c r="A246" s="4" t="s">
        <v>469</v>
      </c>
      <c r="B246" s="10" t="s">
        <v>170</v>
      </c>
      <c r="C246" s="23"/>
      <c r="D246" s="23"/>
      <c r="E246" s="23"/>
      <c r="F246" s="5" t="s">
        <v>470</v>
      </c>
      <c r="G246" s="11"/>
      <c r="H246" s="229">
        <v>167707</v>
      </c>
      <c r="I246" s="31" t="str">
        <f t="shared" si="3"/>
        <v>-</v>
      </c>
    </row>
    <row r="247" spans="1:9" ht="22.5" hidden="1" x14ac:dyDescent="0.2">
      <c r="A247" s="4" t="s">
        <v>196</v>
      </c>
      <c r="B247" s="10" t="s">
        <v>170</v>
      </c>
      <c r="C247" s="23"/>
      <c r="D247" s="23"/>
      <c r="E247" s="23"/>
      <c r="F247" s="5" t="s">
        <v>471</v>
      </c>
      <c r="G247" s="11"/>
      <c r="H247" s="229">
        <v>167707</v>
      </c>
      <c r="I247" s="31" t="str">
        <f t="shared" si="3"/>
        <v>-</v>
      </c>
    </row>
    <row r="248" spans="1:9" ht="22.5" hidden="1" x14ac:dyDescent="0.2">
      <c r="A248" s="4" t="s">
        <v>200</v>
      </c>
      <c r="B248" s="10" t="s">
        <v>170</v>
      </c>
      <c r="C248" s="23"/>
      <c r="D248" s="23"/>
      <c r="E248" s="23"/>
      <c r="F248" s="5" t="s">
        <v>472</v>
      </c>
      <c r="G248" s="11"/>
      <c r="H248" s="229">
        <v>167707</v>
      </c>
      <c r="I248" s="31" t="str">
        <f t="shared" si="3"/>
        <v>-</v>
      </c>
    </row>
    <row r="249" spans="1:9" hidden="1" x14ac:dyDescent="0.2">
      <c r="A249" s="6" t="s">
        <v>465</v>
      </c>
      <c r="B249" s="7" t="s">
        <v>170</v>
      </c>
      <c r="C249" s="22"/>
      <c r="D249" s="22"/>
      <c r="E249" s="22"/>
      <c r="F249" s="8" t="s">
        <v>473</v>
      </c>
      <c r="G249" s="9"/>
      <c r="H249" s="228">
        <v>803500.8</v>
      </c>
      <c r="I249" s="29" t="str">
        <f t="shared" si="3"/>
        <v>-</v>
      </c>
    </row>
    <row r="250" spans="1:9" hidden="1" x14ac:dyDescent="0.2">
      <c r="A250" s="4" t="s">
        <v>178</v>
      </c>
      <c r="B250" s="10" t="s">
        <v>170</v>
      </c>
      <c r="C250" s="23"/>
      <c r="D250" s="23"/>
      <c r="E250" s="23"/>
      <c r="F250" s="5" t="s">
        <v>474</v>
      </c>
      <c r="G250" s="11"/>
      <c r="H250" s="229">
        <v>803500.8</v>
      </c>
      <c r="I250" s="31" t="str">
        <f t="shared" si="3"/>
        <v>-</v>
      </c>
    </row>
    <row r="251" spans="1:9" ht="22.5" hidden="1" x14ac:dyDescent="0.2">
      <c r="A251" s="4" t="s">
        <v>475</v>
      </c>
      <c r="B251" s="10" t="s">
        <v>170</v>
      </c>
      <c r="C251" s="23"/>
      <c r="D251" s="23"/>
      <c r="E251" s="23"/>
      <c r="F251" s="5" t="s">
        <v>476</v>
      </c>
      <c r="G251" s="11"/>
      <c r="H251" s="229">
        <v>803500.8</v>
      </c>
      <c r="I251" s="31" t="str">
        <f t="shared" si="3"/>
        <v>-</v>
      </c>
    </row>
    <row r="252" spans="1:9" ht="22.5" hidden="1" x14ac:dyDescent="0.2">
      <c r="A252" s="4" t="s">
        <v>196</v>
      </c>
      <c r="B252" s="10" t="s">
        <v>170</v>
      </c>
      <c r="C252" s="23"/>
      <c r="D252" s="23"/>
      <c r="E252" s="23"/>
      <c r="F252" s="5" t="s">
        <v>477</v>
      </c>
      <c r="G252" s="11"/>
      <c r="H252" s="20">
        <v>803500.8</v>
      </c>
      <c r="I252" s="31" t="str">
        <f t="shared" si="3"/>
        <v>-</v>
      </c>
    </row>
    <row r="253" spans="1:9" ht="23.25" hidden="1" thickBot="1" x14ac:dyDescent="0.25">
      <c r="A253" s="4" t="s">
        <v>200</v>
      </c>
      <c r="B253" s="10" t="s">
        <v>170</v>
      </c>
      <c r="C253" s="23"/>
      <c r="D253" s="23"/>
      <c r="E253" s="23"/>
      <c r="F253" s="5" t="s">
        <v>478</v>
      </c>
      <c r="G253" s="11"/>
      <c r="H253" s="20">
        <v>803500.8</v>
      </c>
      <c r="I253" s="31" t="str">
        <f t="shared" si="3"/>
        <v>-</v>
      </c>
    </row>
    <row r="254" spans="1:9" ht="9" hidden="1" customHeight="1" thickBot="1" x14ac:dyDescent="0.25">
      <c r="A254" s="12"/>
      <c r="B254" s="13"/>
      <c r="C254" s="13"/>
      <c r="D254" s="13"/>
      <c r="E254" s="13"/>
      <c r="F254" s="14"/>
      <c r="G254" s="15"/>
      <c r="H254" s="21"/>
      <c r="I254" s="13"/>
    </row>
    <row r="255" spans="1:9" ht="13.5" hidden="1" customHeight="1" thickBot="1" x14ac:dyDescent="0.25">
      <c r="A255" s="16" t="s">
        <v>479</v>
      </c>
      <c r="B255" s="17" t="s">
        <v>480</v>
      </c>
      <c r="C255" s="24"/>
      <c r="D255" s="24"/>
      <c r="E255" s="24"/>
      <c r="F255" s="18" t="s">
        <v>171</v>
      </c>
      <c r="G255" s="25"/>
      <c r="H255" s="19">
        <v>-4117640.69</v>
      </c>
      <c r="I255" s="32" t="s">
        <v>481</v>
      </c>
    </row>
  </sheetData>
  <mergeCells count="16">
    <mergeCell ref="I14:I16"/>
    <mergeCell ref="F14:F16"/>
    <mergeCell ref="A14:A18"/>
    <mergeCell ref="B14:B18"/>
    <mergeCell ref="G14:G18"/>
    <mergeCell ref="H14:H16"/>
    <mergeCell ref="A7:H7"/>
    <mergeCell ref="A8:H8"/>
    <mergeCell ref="A9:H9"/>
    <mergeCell ref="A10:H10"/>
    <mergeCell ref="C14:C16"/>
    <mergeCell ref="C1:H1"/>
    <mergeCell ref="C2:H2"/>
    <mergeCell ref="A3:H3"/>
    <mergeCell ref="A4:H4"/>
    <mergeCell ref="A5:H5"/>
  </mergeCells>
  <conditionalFormatting sqref="H31:I32">
    <cfRule type="cellIs" priority="2" stopIfTrue="1" operator="equal">
      <formula>0</formula>
    </cfRule>
  </conditionalFormatting>
  <conditionalFormatting sqref="H34:I34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5"/>
  <sheetViews>
    <sheetView showGridLines="0" topLeftCell="A237" workbookViewId="0">
      <selection activeCell="M258" sqref="M258"/>
    </sheetView>
  </sheetViews>
  <sheetFormatPr defaultRowHeight="12.75" customHeight="1" x14ac:dyDescent="0.2"/>
  <cols>
    <col min="1" max="1" width="45.7109375" customWidth="1"/>
    <col min="2" max="2" width="4.28515625" hidden="1" customWidth="1"/>
    <col min="3" max="3" width="13" customWidth="1"/>
    <col min="4" max="4" width="9.5703125" customWidth="1"/>
    <col min="5" max="5" width="9.28515625" customWidth="1"/>
    <col min="6" max="6" width="12.42578125" customWidth="1"/>
    <col min="7" max="8" width="4.28515625" hidden="1" customWidth="1"/>
    <col min="9" max="9" width="9" customWidth="1"/>
    <col min="10" max="10" width="30.28515625" hidden="1" customWidth="1"/>
    <col min="11" max="11" width="18.7109375" customWidth="1"/>
    <col min="12" max="12" width="18.7109375" hidden="1" customWidth="1"/>
  </cols>
  <sheetData>
    <row r="1" spans="1:12" ht="14.25" customHeight="1" x14ac:dyDescent="0.25">
      <c r="F1" s="258" t="s">
        <v>657</v>
      </c>
      <c r="G1" s="258"/>
      <c r="H1" s="258"/>
      <c r="I1" s="258"/>
      <c r="J1" s="258"/>
      <c r="K1" s="258"/>
      <c r="L1" s="35" t="s">
        <v>655</v>
      </c>
    </row>
    <row r="2" spans="1:12" ht="12" customHeight="1" x14ac:dyDescent="0.25">
      <c r="E2" s="258" t="s">
        <v>652</v>
      </c>
      <c r="F2" s="258"/>
      <c r="G2" s="258"/>
      <c r="H2" s="258"/>
      <c r="I2" s="258"/>
      <c r="J2" s="258"/>
      <c r="K2" s="258"/>
      <c r="L2" s="35" t="s">
        <v>652</v>
      </c>
    </row>
    <row r="3" spans="1:12" ht="12" customHeight="1" x14ac:dyDescent="0.25">
      <c r="D3" s="258" t="s">
        <v>653</v>
      </c>
      <c r="E3" s="258"/>
      <c r="F3" s="258"/>
      <c r="G3" s="258"/>
      <c r="H3" s="258"/>
      <c r="I3" s="258"/>
      <c r="J3" s="258"/>
      <c r="K3" s="258"/>
      <c r="L3" s="35" t="s">
        <v>653</v>
      </c>
    </row>
    <row r="4" spans="1:12" ht="12.75" customHeight="1" x14ac:dyDescent="0.25">
      <c r="E4" s="258" t="s">
        <v>654</v>
      </c>
      <c r="F4" s="258"/>
      <c r="G4" s="258"/>
      <c r="H4" s="258"/>
      <c r="I4" s="258"/>
      <c r="J4" s="258"/>
      <c r="K4" s="258"/>
      <c r="L4" s="35" t="s">
        <v>654</v>
      </c>
    </row>
    <row r="5" spans="1:12" ht="13.5" customHeight="1" x14ac:dyDescent="0.2">
      <c r="D5" s="255" t="s">
        <v>656</v>
      </c>
      <c r="E5" s="255"/>
      <c r="F5" s="255"/>
      <c r="G5" s="255"/>
      <c r="H5" s="255"/>
      <c r="I5" s="255"/>
      <c r="J5" s="255"/>
      <c r="K5" s="255"/>
      <c r="L5" s="38" t="s">
        <v>656</v>
      </c>
    </row>
    <row r="6" spans="1:12" ht="9.75" customHeight="1" x14ac:dyDescent="0.2"/>
    <row r="7" spans="1:12" ht="15" customHeight="1" x14ac:dyDescent="0.3">
      <c r="A7" s="259" t="s">
        <v>531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</row>
    <row r="8" spans="1:12" ht="12" customHeight="1" x14ac:dyDescent="0.3">
      <c r="A8" s="259" t="s">
        <v>532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</row>
    <row r="9" spans="1:12" ht="16.5" customHeight="1" x14ac:dyDescent="0.3">
      <c r="A9" s="259" t="s">
        <v>529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</row>
    <row r="10" spans="1:12" ht="15" customHeight="1" x14ac:dyDescent="0.3">
      <c r="A10" s="259" t="s">
        <v>648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</row>
    <row r="11" spans="1:12" ht="12" customHeight="1" thickBot="1" x14ac:dyDescent="0.3">
      <c r="A11" s="39"/>
      <c r="B11" s="39"/>
      <c r="C11" s="39"/>
      <c r="D11" s="39"/>
      <c r="E11" s="39"/>
      <c r="F11" s="39"/>
      <c r="G11" s="39"/>
      <c r="H11" s="39"/>
      <c r="I11" s="41"/>
      <c r="J11" s="42"/>
      <c r="K11" s="91" t="s">
        <v>537</v>
      </c>
      <c r="L11" s="2"/>
    </row>
    <row r="12" spans="1:12" ht="10.15" customHeight="1" x14ac:dyDescent="0.2">
      <c r="A12" s="275" t="s">
        <v>2</v>
      </c>
      <c r="B12" s="278" t="s">
        <v>3</v>
      </c>
      <c r="C12" s="92" t="s">
        <v>554</v>
      </c>
      <c r="D12" s="93" t="s">
        <v>557</v>
      </c>
      <c r="E12" s="93" t="s">
        <v>558</v>
      </c>
      <c r="F12" s="94" t="s">
        <v>559</v>
      </c>
      <c r="G12" s="92"/>
      <c r="H12" s="92"/>
      <c r="I12" s="93" t="s">
        <v>561</v>
      </c>
      <c r="J12" s="281"/>
      <c r="K12" s="95" t="s">
        <v>5</v>
      </c>
      <c r="L12" s="274" t="s">
        <v>6</v>
      </c>
    </row>
    <row r="13" spans="1:12" ht="12" customHeight="1" x14ac:dyDescent="0.2">
      <c r="A13" s="276"/>
      <c r="B13" s="279"/>
      <c r="C13" s="96" t="s">
        <v>555</v>
      </c>
      <c r="D13" s="97"/>
      <c r="E13" s="97"/>
      <c r="F13" s="98" t="s">
        <v>560</v>
      </c>
      <c r="G13" s="96"/>
      <c r="H13" s="96"/>
      <c r="I13" s="97" t="s">
        <v>562</v>
      </c>
      <c r="J13" s="282"/>
      <c r="K13" s="99"/>
      <c r="L13" s="262"/>
    </row>
    <row r="14" spans="1:12" ht="11.25" customHeight="1" thickBot="1" x14ac:dyDescent="0.25">
      <c r="A14" s="276"/>
      <c r="B14" s="279"/>
      <c r="C14" s="96" t="s">
        <v>556</v>
      </c>
      <c r="D14" s="97"/>
      <c r="E14" s="97"/>
      <c r="F14" s="98"/>
      <c r="G14" s="96"/>
      <c r="H14" s="96"/>
      <c r="I14" s="100"/>
      <c r="J14" s="282"/>
      <c r="K14" s="99"/>
      <c r="L14" s="262"/>
    </row>
    <row r="15" spans="1:12" ht="4.1500000000000004" hidden="1" customHeight="1" x14ac:dyDescent="0.2">
      <c r="A15" s="276"/>
      <c r="B15" s="279"/>
      <c r="C15" s="96"/>
      <c r="D15" s="97"/>
      <c r="E15" s="97"/>
      <c r="F15" s="98"/>
      <c r="G15" s="96"/>
      <c r="H15" s="96"/>
      <c r="I15" s="100"/>
      <c r="J15" s="282"/>
      <c r="K15" s="101"/>
      <c r="L15" s="26"/>
    </row>
    <row r="16" spans="1:12" ht="13.15" hidden="1" customHeight="1" x14ac:dyDescent="0.2">
      <c r="A16" s="277"/>
      <c r="B16" s="280"/>
      <c r="C16" s="102"/>
      <c r="D16" s="103"/>
      <c r="E16" s="103"/>
      <c r="F16" s="104"/>
      <c r="G16" s="102"/>
      <c r="H16" s="102"/>
      <c r="I16" s="105"/>
      <c r="J16" s="283"/>
      <c r="K16" s="106"/>
      <c r="L16" s="27"/>
    </row>
    <row r="17" spans="1:12" ht="13.5" customHeight="1" thickBot="1" x14ac:dyDescent="0.25">
      <c r="A17" s="107">
        <v>1</v>
      </c>
      <c r="B17" s="108">
        <v>2</v>
      </c>
      <c r="C17" s="109">
        <v>2</v>
      </c>
      <c r="D17" s="110">
        <v>3</v>
      </c>
      <c r="E17" s="110">
        <v>4</v>
      </c>
      <c r="F17" s="111">
        <v>5</v>
      </c>
      <c r="G17" s="109"/>
      <c r="H17" s="109"/>
      <c r="I17" s="110">
        <v>6</v>
      </c>
      <c r="J17" s="112"/>
      <c r="K17" s="113" t="s">
        <v>563</v>
      </c>
      <c r="L17" s="28" t="s">
        <v>8</v>
      </c>
    </row>
    <row r="18" spans="1:12" ht="32.25" thickBot="1" x14ac:dyDescent="0.3">
      <c r="A18" s="114" t="s">
        <v>564</v>
      </c>
      <c r="B18" s="115" t="s">
        <v>170</v>
      </c>
      <c r="C18" s="116"/>
      <c r="D18" s="117"/>
      <c r="E18" s="117"/>
      <c r="F18" s="118"/>
      <c r="G18" s="116"/>
      <c r="H18" s="116"/>
      <c r="I18" s="119"/>
      <c r="J18" s="120"/>
      <c r="K18" s="230">
        <f>96704325.36/1000</f>
        <v>96704.325360000003</v>
      </c>
      <c r="L18" s="29" t="str">
        <f>IF(OR(J18="-",IF(K18="-",0,K18)&gt;=IF(J18="-",0,J18)),"-",IF(J18="-",0,J18)-IF(K18="-",0,K18))</f>
        <v>-</v>
      </c>
    </row>
    <row r="19" spans="1:12" ht="15.75" hidden="1" x14ac:dyDescent="0.25">
      <c r="A19" s="121" t="s">
        <v>10</v>
      </c>
      <c r="B19" s="122"/>
      <c r="C19" s="123"/>
      <c r="D19" s="121"/>
      <c r="E19" s="121"/>
      <c r="F19" s="123"/>
      <c r="G19" s="123"/>
      <c r="H19" s="123"/>
      <c r="I19" s="124"/>
      <c r="J19" s="125"/>
      <c r="K19" s="231"/>
      <c r="L19" s="30"/>
    </row>
    <row r="20" spans="1:12" ht="31.5" hidden="1" x14ac:dyDescent="0.25">
      <c r="A20" s="80" t="s">
        <v>172</v>
      </c>
      <c r="B20" s="81" t="s">
        <v>170</v>
      </c>
      <c r="C20" s="82"/>
      <c r="D20" s="126"/>
      <c r="E20" s="126"/>
      <c r="F20" s="82"/>
      <c r="G20" s="82"/>
      <c r="H20" s="82"/>
      <c r="I20" s="127" t="s">
        <v>173</v>
      </c>
      <c r="J20" s="128"/>
      <c r="K20" s="227">
        <v>96704325.359999999</v>
      </c>
      <c r="L20" s="29" t="str">
        <f t="shared" ref="L20:L83" si="0">IF(OR(J20="-",IF(K20="-",0,K20)&gt;=IF(J20="-",0,J20)),"-",IF(J20="-",0,J20)-IF(K20="-",0,K20))</f>
        <v>-</v>
      </c>
    </row>
    <row r="21" spans="1:12" ht="27" customHeight="1" thickBot="1" x14ac:dyDescent="0.3">
      <c r="A21" s="129" t="s">
        <v>174</v>
      </c>
      <c r="B21" s="130" t="s">
        <v>170</v>
      </c>
      <c r="C21" s="131" t="s">
        <v>1</v>
      </c>
      <c r="D21" s="132"/>
      <c r="E21" s="132"/>
      <c r="F21" s="131"/>
      <c r="G21" s="131"/>
      <c r="H21" s="131"/>
      <c r="I21" s="133"/>
      <c r="J21" s="134"/>
      <c r="K21" s="219">
        <f>96704325.36/1000</f>
        <v>96704.325360000003</v>
      </c>
      <c r="L21" s="29" t="str">
        <f t="shared" si="0"/>
        <v>-</v>
      </c>
    </row>
    <row r="22" spans="1:12" ht="32.25" thickBot="1" x14ac:dyDescent="0.3">
      <c r="A22" s="114" t="s">
        <v>175</v>
      </c>
      <c r="B22" s="115" t="s">
        <v>170</v>
      </c>
      <c r="C22" s="116" t="s">
        <v>1</v>
      </c>
      <c r="D22" s="135" t="s">
        <v>538</v>
      </c>
      <c r="E22" s="135"/>
      <c r="F22" s="116"/>
      <c r="G22" s="116"/>
      <c r="H22" s="116"/>
      <c r="I22" s="119"/>
      <c r="J22" s="120"/>
      <c r="K22" s="230">
        <f>19186464.91/1000</f>
        <v>19186.464909999999</v>
      </c>
      <c r="L22" s="29" t="str">
        <f t="shared" si="0"/>
        <v>-</v>
      </c>
    </row>
    <row r="23" spans="1:12" ht="63.75" thickBot="1" x14ac:dyDescent="0.3">
      <c r="A23" s="54" t="s">
        <v>176</v>
      </c>
      <c r="B23" s="55" t="s">
        <v>170</v>
      </c>
      <c r="C23" s="56" t="s">
        <v>1</v>
      </c>
      <c r="D23" s="136" t="s">
        <v>538</v>
      </c>
      <c r="E23" s="136" t="s">
        <v>540</v>
      </c>
      <c r="F23" s="56"/>
      <c r="G23" s="56"/>
      <c r="H23" s="56"/>
      <c r="I23" s="137"/>
      <c r="J23" s="138"/>
      <c r="K23" s="215">
        <f>30370.22/1000</f>
        <v>30.37022</v>
      </c>
      <c r="L23" s="29" t="str">
        <f t="shared" si="0"/>
        <v>-</v>
      </c>
    </row>
    <row r="24" spans="1:12" ht="47.25" x14ac:dyDescent="0.25">
      <c r="A24" s="139" t="s">
        <v>176</v>
      </c>
      <c r="B24" s="60" t="s">
        <v>170</v>
      </c>
      <c r="C24" s="61" t="s">
        <v>1</v>
      </c>
      <c r="D24" s="140" t="s">
        <v>538</v>
      </c>
      <c r="E24" s="140" t="s">
        <v>540</v>
      </c>
      <c r="F24" s="61" t="s">
        <v>565</v>
      </c>
      <c r="G24" s="61"/>
      <c r="H24" s="61"/>
      <c r="I24" s="141"/>
      <c r="J24" s="142"/>
      <c r="K24" s="218">
        <f>30370.22/1000</f>
        <v>30.37022</v>
      </c>
      <c r="L24" s="29" t="str">
        <f t="shared" si="0"/>
        <v>-</v>
      </c>
    </row>
    <row r="25" spans="1:12" ht="31.5" x14ac:dyDescent="0.25">
      <c r="A25" s="70" t="s">
        <v>178</v>
      </c>
      <c r="B25" s="65" t="s">
        <v>170</v>
      </c>
      <c r="C25" s="66" t="s">
        <v>1</v>
      </c>
      <c r="D25" s="143" t="s">
        <v>538</v>
      </c>
      <c r="E25" s="143" t="s">
        <v>540</v>
      </c>
      <c r="F25" s="66" t="s">
        <v>566</v>
      </c>
      <c r="G25" s="66"/>
      <c r="H25" s="66"/>
      <c r="I25" s="144"/>
      <c r="J25" s="145"/>
      <c r="K25" s="224">
        <f>30370.22/1000</f>
        <v>30.37022</v>
      </c>
      <c r="L25" s="31" t="str">
        <f t="shared" si="0"/>
        <v>-</v>
      </c>
    </row>
    <row r="26" spans="1:12" ht="63" x14ac:dyDescent="0.25">
      <c r="A26" s="70" t="s">
        <v>180</v>
      </c>
      <c r="B26" s="65" t="s">
        <v>170</v>
      </c>
      <c r="C26" s="66" t="s">
        <v>1</v>
      </c>
      <c r="D26" s="143" t="s">
        <v>538</v>
      </c>
      <c r="E26" s="143" t="s">
        <v>540</v>
      </c>
      <c r="F26" s="66" t="s">
        <v>567</v>
      </c>
      <c r="G26" s="66"/>
      <c r="H26" s="66"/>
      <c r="I26" s="144"/>
      <c r="J26" s="145"/>
      <c r="K26" s="224">
        <f>30370.22/1000</f>
        <v>30.37022</v>
      </c>
      <c r="L26" s="31" t="str">
        <f t="shared" si="0"/>
        <v>-</v>
      </c>
    </row>
    <row r="27" spans="1:12" ht="32.25" thickBot="1" x14ac:dyDescent="0.3">
      <c r="A27" s="59" t="s">
        <v>182</v>
      </c>
      <c r="B27" s="65" t="s">
        <v>170</v>
      </c>
      <c r="C27" s="66" t="s">
        <v>1</v>
      </c>
      <c r="D27" s="143" t="s">
        <v>538</v>
      </c>
      <c r="E27" s="143" t="s">
        <v>540</v>
      </c>
      <c r="F27" s="66" t="s">
        <v>567</v>
      </c>
      <c r="G27" s="66"/>
      <c r="H27" s="66"/>
      <c r="I27" s="144" t="s">
        <v>568</v>
      </c>
      <c r="J27" s="145"/>
      <c r="K27" s="224">
        <f>30370.22/1000</f>
        <v>30.37022</v>
      </c>
      <c r="L27" s="31" t="str">
        <f t="shared" si="0"/>
        <v>-</v>
      </c>
    </row>
    <row r="28" spans="1:12" ht="31.5" hidden="1" x14ac:dyDescent="0.25">
      <c r="A28" s="64" t="s">
        <v>184</v>
      </c>
      <c r="B28" s="65" t="s">
        <v>170</v>
      </c>
      <c r="C28" s="66"/>
      <c r="D28" s="143"/>
      <c r="E28" s="143"/>
      <c r="F28" s="66"/>
      <c r="G28" s="66"/>
      <c r="H28" s="66"/>
      <c r="I28" s="144" t="s">
        <v>185</v>
      </c>
      <c r="J28" s="145"/>
      <c r="K28" s="224">
        <v>23030.82</v>
      </c>
      <c r="L28" s="31" t="str">
        <f t="shared" si="0"/>
        <v>-</v>
      </c>
    </row>
    <row r="29" spans="1:12" ht="63" hidden="1" x14ac:dyDescent="0.25">
      <c r="A29" s="69" t="s">
        <v>186</v>
      </c>
      <c r="B29" s="71" t="s">
        <v>170</v>
      </c>
      <c r="C29" s="72"/>
      <c r="D29" s="146"/>
      <c r="E29" s="146"/>
      <c r="F29" s="72"/>
      <c r="G29" s="72"/>
      <c r="H29" s="72"/>
      <c r="I29" s="147" t="s">
        <v>187</v>
      </c>
      <c r="J29" s="148"/>
      <c r="K29" s="225">
        <v>7339.4</v>
      </c>
      <c r="L29" s="31" t="str">
        <f t="shared" si="0"/>
        <v>-</v>
      </c>
    </row>
    <row r="30" spans="1:12" ht="79.5" thickBot="1" x14ac:dyDescent="0.3">
      <c r="A30" s="54" t="s">
        <v>188</v>
      </c>
      <c r="B30" s="55" t="s">
        <v>170</v>
      </c>
      <c r="C30" s="56" t="s">
        <v>1</v>
      </c>
      <c r="D30" s="136" t="s">
        <v>538</v>
      </c>
      <c r="E30" s="136" t="s">
        <v>541</v>
      </c>
      <c r="F30" s="56"/>
      <c r="G30" s="56"/>
      <c r="H30" s="56"/>
      <c r="I30" s="137"/>
      <c r="J30" s="138"/>
      <c r="K30" s="215">
        <f>1849996.02/1000</f>
        <v>1849.99602</v>
      </c>
      <c r="L30" s="29" t="str">
        <f t="shared" si="0"/>
        <v>-</v>
      </c>
    </row>
    <row r="31" spans="1:12" ht="78.75" x14ac:dyDescent="0.25">
      <c r="A31" s="139" t="s">
        <v>188</v>
      </c>
      <c r="B31" s="81" t="s">
        <v>170</v>
      </c>
      <c r="C31" s="61" t="s">
        <v>1</v>
      </c>
      <c r="D31" s="140" t="s">
        <v>538</v>
      </c>
      <c r="E31" s="140" t="s">
        <v>541</v>
      </c>
      <c r="F31" s="61" t="s">
        <v>565</v>
      </c>
      <c r="G31" s="61"/>
      <c r="H31" s="61"/>
      <c r="I31" s="141"/>
      <c r="J31" s="142"/>
      <c r="K31" s="218">
        <f>1849996.02/1000</f>
        <v>1849.99602</v>
      </c>
      <c r="L31" s="29" t="str">
        <f t="shared" si="0"/>
        <v>-</v>
      </c>
    </row>
    <row r="32" spans="1:12" ht="31.5" x14ac:dyDescent="0.25">
      <c r="A32" s="70" t="s">
        <v>178</v>
      </c>
      <c r="B32" s="65" t="s">
        <v>170</v>
      </c>
      <c r="C32" s="66" t="s">
        <v>1</v>
      </c>
      <c r="D32" s="143" t="s">
        <v>538</v>
      </c>
      <c r="E32" s="143" t="s">
        <v>541</v>
      </c>
      <c r="F32" s="66" t="s">
        <v>569</v>
      </c>
      <c r="G32" s="66"/>
      <c r="H32" s="66"/>
      <c r="I32" s="144"/>
      <c r="J32" s="145"/>
      <c r="K32" s="224">
        <f>1849996.02/1000</f>
        <v>1849.99602</v>
      </c>
      <c r="L32" s="31" t="str">
        <f t="shared" si="0"/>
        <v>-</v>
      </c>
    </row>
    <row r="33" spans="1:12" ht="31.5" x14ac:dyDescent="0.25">
      <c r="A33" s="139" t="s">
        <v>191</v>
      </c>
      <c r="B33" s="65" t="s">
        <v>170</v>
      </c>
      <c r="C33" s="66" t="s">
        <v>1</v>
      </c>
      <c r="D33" s="143" t="s">
        <v>538</v>
      </c>
      <c r="E33" s="143" t="s">
        <v>541</v>
      </c>
      <c r="F33" s="66" t="s">
        <v>570</v>
      </c>
      <c r="G33" s="66"/>
      <c r="H33" s="66"/>
      <c r="I33" s="144"/>
      <c r="J33" s="145"/>
      <c r="K33" s="224">
        <f>1849996.02/1000</f>
        <v>1849.99602</v>
      </c>
      <c r="L33" s="31" t="str">
        <f t="shared" si="0"/>
        <v>-</v>
      </c>
    </row>
    <row r="34" spans="1:12" ht="31.5" x14ac:dyDescent="0.25">
      <c r="A34" s="70" t="s">
        <v>182</v>
      </c>
      <c r="B34" s="65" t="s">
        <v>170</v>
      </c>
      <c r="C34" s="66" t="s">
        <v>1</v>
      </c>
      <c r="D34" s="143" t="s">
        <v>538</v>
      </c>
      <c r="E34" s="143" t="s">
        <v>541</v>
      </c>
      <c r="F34" s="66" t="s">
        <v>570</v>
      </c>
      <c r="G34" s="66"/>
      <c r="H34" s="66"/>
      <c r="I34" s="144" t="s">
        <v>612</v>
      </c>
      <c r="J34" s="145"/>
      <c r="K34" s="224">
        <f>618378.32/1000</f>
        <v>618.37831999999992</v>
      </c>
      <c r="L34" s="31" t="str">
        <f t="shared" si="0"/>
        <v>-</v>
      </c>
    </row>
    <row r="35" spans="1:12" ht="31.5" hidden="1" x14ac:dyDescent="0.25">
      <c r="A35" s="59" t="s">
        <v>184</v>
      </c>
      <c r="B35" s="65" t="s">
        <v>170</v>
      </c>
      <c r="C35" s="66"/>
      <c r="D35" s="143"/>
      <c r="E35" s="143"/>
      <c r="F35" s="66"/>
      <c r="G35" s="66"/>
      <c r="H35" s="66"/>
      <c r="I35" s="144" t="s">
        <v>194</v>
      </c>
      <c r="J35" s="145"/>
      <c r="K35" s="224">
        <v>475872.58</v>
      </c>
      <c r="L35" s="31" t="str">
        <f t="shared" si="0"/>
        <v>-</v>
      </c>
    </row>
    <row r="36" spans="1:12" ht="63" hidden="1" x14ac:dyDescent="0.25">
      <c r="A36" s="69" t="s">
        <v>186</v>
      </c>
      <c r="B36" s="65" t="s">
        <v>170</v>
      </c>
      <c r="C36" s="66"/>
      <c r="D36" s="143"/>
      <c r="E36" s="143"/>
      <c r="F36" s="66"/>
      <c r="G36" s="66"/>
      <c r="H36" s="66"/>
      <c r="I36" s="144" t="s">
        <v>195</v>
      </c>
      <c r="J36" s="145"/>
      <c r="K36" s="224">
        <v>142505.74</v>
      </c>
      <c r="L36" s="31" t="str">
        <f t="shared" si="0"/>
        <v>-</v>
      </c>
    </row>
    <row r="37" spans="1:12" ht="47.25" x14ac:dyDescent="0.25">
      <c r="A37" s="70" t="s">
        <v>196</v>
      </c>
      <c r="B37" s="65" t="s">
        <v>170</v>
      </c>
      <c r="C37" s="66" t="s">
        <v>1</v>
      </c>
      <c r="D37" s="143" t="s">
        <v>538</v>
      </c>
      <c r="E37" s="143" t="s">
        <v>541</v>
      </c>
      <c r="F37" s="66" t="s">
        <v>570</v>
      </c>
      <c r="G37" s="66"/>
      <c r="H37" s="66"/>
      <c r="I37" s="144" t="s">
        <v>587</v>
      </c>
      <c r="J37" s="145"/>
      <c r="K37" s="224">
        <f>1229617.7/1000</f>
        <v>1229.6177</v>
      </c>
      <c r="L37" s="31" t="str">
        <f t="shared" si="0"/>
        <v>-</v>
      </c>
    </row>
    <row r="38" spans="1:12" ht="47.25" hidden="1" x14ac:dyDescent="0.25">
      <c r="A38" s="59" t="s">
        <v>198</v>
      </c>
      <c r="B38" s="65" t="s">
        <v>170</v>
      </c>
      <c r="C38" s="66"/>
      <c r="D38" s="143"/>
      <c r="E38" s="143"/>
      <c r="F38" s="66"/>
      <c r="G38" s="66"/>
      <c r="H38" s="66"/>
      <c r="I38" s="144" t="s">
        <v>199</v>
      </c>
      <c r="J38" s="145"/>
      <c r="K38" s="224">
        <v>6150</v>
      </c>
      <c r="L38" s="31" t="str">
        <f t="shared" si="0"/>
        <v>-</v>
      </c>
    </row>
    <row r="39" spans="1:12" ht="47.25" hidden="1" x14ac:dyDescent="0.25">
      <c r="A39" s="64" t="s">
        <v>200</v>
      </c>
      <c r="B39" s="65" t="s">
        <v>170</v>
      </c>
      <c r="C39" s="66"/>
      <c r="D39" s="143"/>
      <c r="E39" s="143"/>
      <c r="F39" s="66"/>
      <c r="G39" s="66"/>
      <c r="H39" s="66"/>
      <c r="I39" s="144" t="s">
        <v>201</v>
      </c>
      <c r="J39" s="145"/>
      <c r="K39" s="224">
        <v>1223467.7</v>
      </c>
      <c r="L39" s="31" t="str">
        <f t="shared" si="0"/>
        <v>-</v>
      </c>
    </row>
    <row r="40" spans="1:12" ht="32.25" thickBot="1" x14ac:dyDescent="0.3">
      <c r="A40" s="64" t="s">
        <v>202</v>
      </c>
      <c r="B40" s="65" t="s">
        <v>170</v>
      </c>
      <c r="C40" s="66" t="s">
        <v>1</v>
      </c>
      <c r="D40" s="143" t="s">
        <v>538</v>
      </c>
      <c r="E40" s="143" t="s">
        <v>541</v>
      </c>
      <c r="F40" s="66" t="s">
        <v>570</v>
      </c>
      <c r="G40" s="66"/>
      <c r="H40" s="66"/>
      <c r="I40" s="144" t="s">
        <v>572</v>
      </c>
      <c r="J40" s="145"/>
      <c r="K40" s="224">
        <f>2000/1000</f>
        <v>2</v>
      </c>
      <c r="L40" s="31" t="str">
        <f t="shared" si="0"/>
        <v>-</v>
      </c>
    </row>
    <row r="41" spans="1:12" ht="31.5" hidden="1" x14ac:dyDescent="0.25">
      <c r="A41" s="64" t="s">
        <v>204</v>
      </c>
      <c r="B41" s="65" t="s">
        <v>170</v>
      </c>
      <c r="C41" s="66"/>
      <c r="D41" s="143"/>
      <c r="E41" s="143"/>
      <c r="F41" s="66"/>
      <c r="G41" s="66"/>
      <c r="H41" s="66"/>
      <c r="I41" s="144" t="s">
        <v>205</v>
      </c>
      <c r="J41" s="145"/>
      <c r="K41" s="224" t="s">
        <v>21</v>
      </c>
      <c r="L41" s="31" t="str">
        <f t="shared" si="0"/>
        <v>-</v>
      </c>
    </row>
    <row r="42" spans="1:12" ht="31.5" hidden="1" x14ac:dyDescent="0.25">
      <c r="A42" s="69" t="s">
        <v>206</v>
      </c>
      <c r="B42" s="71" t="s">
        <v>170</v>
      </c>
      <c r="C42" s="72"/>
      <c r="D42" s="146"/>
      <c r="E42" s="146"/>
      <c r="F42" s="72"/>
      <c r="G42" s="72"/>
      <c r="H42" s="72"/>
      <c r="I42" s="147" t="s">
        <v>207</v>
      </c>
      <c r="J42" s="148"/>
      <c r="K42" s="225">
        <v>2000</v>
      </c>
      <c r="L42" s="31" t="str">
        <f t="shared" si="0"/>
        <v>-</v>
      </c>
    </row>
    <row r="43" spans="1:12" ht="95.25" thickBot="1" x14ac:dyDescent="0.3">
      <c r="A43" s="54" t="s">
        <v>208</v>
      </c>
      <c r="B43" s="55" t="s">
        <v>170</v>
      </c>
      <c r="C43" s="56" t="s">
        <v>1</v>
      </c>
      <c r="D43" s="136" t="s">
        <v>538</v>
      </c>
      <c r="E43" s="136" t="s">
        <v>542</v>
      </c>
      <c r="F43" s="56"/>
      <c r="G43" s="56"/>
      <c r="H43" s="56"/>
      <c r="I43" s="137"/>
      <c r="J43" s="138"/>
      <c r="K43" s="215">
        <f>15557085.71/1000</f>
        <v>15557.085710000001</v>
      </c>
      <c r="L43" s="29" t="str">
        <f t="shared" si="0"/>
        <v>-</v>
      </c>
    </row>
    <row r="44" spans="1:12" ht="78.75" x14ac:dyDescent="0.25">
      <c r="A44" s="139" t="s">
        <v>208</v>
      </c>
      <c r="B44" s="81" t="s">
        <v>170</v>
      </c>
      <c r="C44" s="61" t="s">
        <v>1</v>
      </c>
      <c r="D44" s="140" t="s">
        <v>538</v>
      </c>
      <c r="E44" s="140" t="s">
        <v>542</v>
      </c>
      <c r="F44" s="61" t="s">
        <v>573</v>
      </c>
      <c r="G44" s="82"/>
      <c r="H44" s="82"/>
      <c r="I44" s="127"/>
      <c r="J44" s="128"/>
      <c r="K44" s="218">
        <f>15557085.71/1000</f>
        <v>15557.085710000001</v>
      </c>
      <c r="L44" s="29" t="str">
        <f t="shared" si="0"/>
        <v>-</v>
      </c>
    </row>
    <row r="45" spans="1:12" ht="31.5" x14ac:dyDescent="0.25">
      <c r="A45" s="70" t="s">
        <v>178</v>
      </c>
      <c r="B45" s="65" t="s">
        <v>170</v>
      </c>
      <c r="C45" s="61" t="s">
        <v>1</v>
      </c>
      <c r="D45" s="140" t="s">
        <v>538</v>
      </c>
      <c r="E45" s="140" t="s">
        <v>542</v>
      </c>
      <c r="F45" s="66" t="s">
        <v>569</v>
      </c>
      <c r="G45" s="66"/>
      <c r="H45" s="66"/>
      <c r="I45" s="144"/>
      <c r="J45" s="145"/>
      <c r="K45" s="224">
        <f>14241015.59/1000</f>
        <v>14241.015589999999</v>
      </c>
      <c r="L45" s="31" t="str">
        <f t="shared" si="0"/>
        <v>-</v>
      </c>
    </row>
    <row r="46" spans="1:12" ht="31.5" x14ac:dyDescent="0.25">
      <c r="A46" s="139" t="s">
        <v>191</v>
      </c>
      <c r="B46" s="65" t="s">
        <v>170</v>
      </c>
      <c r="C46" s="61" t="s">
        <v>1</v>
      </c>
      <c r="D46" s="140" t="s">
        <v>538</v>
      </c>
      <c r="E46" s="140" t="s">
        <v>542</v>
      </c>
      <c r="F46" s="66" t="s">
        <v>570</v>
      </c>
      <c r="G46" s="66"/>
      <c r="H46" s="66"/>
      <c r="I46" s="144"/>
      <c r="J46" s="145"/>
      <c r="K46" s="224">
        <f>13662765.59/1000</f>
        <v>13662.765589999999</v>
      </c>
      <c r="L46" s="31" t="str">
        <f t="shared" si="0"/>
        <v>-</v>
      </c>
    </row>
    <row r="47" spans="1:12" ht="31.5" x14ac:dyDescent="0.25">
      <c r="A47" s="70" t="s">
        <v>182</v>
      </c>
      <c r="B47" s="65" t="s">
        <v>170</v>
      </c>
      <c r="C47" s="61" t="s">
        <v>1</v>
      </c>
      <c r="D47" s="140" t="s">
        <v>538</v>
      </c>
      <c r="E47" s="140" t="s">
        <v>542</v>
      </c>
      <c r="F47" s="66" t="s">
        <v>570</v>
      </c>
      <c r="G47" s="66"/>
      <c r="H47" s="66"/>
      <c r="I47" s="144" t="s">
        <v>568</v>
      </c>
      <c r="J47" s="145"/>
      <c r="K47" s="224">
        <f>7553024.47/1000</f>
        <v>7553.0244699999994</v>
      </c>
      <c r="L47" s="31" t="str">
        <f t="shared" si="0"/>
        <v>-</v>
      </c>
    </row>
    <row r="48" spans="1:12" ht="31.5" hidden="1" x14ac:dyDescent="0.25">
      <c r="A48" s="59" t="s">
        <v>184</v>
      </c>
      <c r="B48" s="65" t="s">
        <v>170</v>
      </c>
      <c r="C48" s="66"/>
      <c r="D48" s="143"/>
      <c r="E48" s="143"/>
      <c r="F48" s="66"/>
      <c r="G48" s="66"/>
      <c r="H48" s="66"/>
      <c r="I48" s="144" t="s">
        <v>213</v>
      </c>
      <c r="J48" s="145"/>
      <c r="K48" s="224">
        <v>5799119.4299999997</v>
      </c>
      <c r="L48" s="31" t="str">
        <f t="shared" si="0"/>
        <v>-</v>
      </c>
    </row>
    <row r="49" spans="1:12" ht="47.25" hidden="1" x14ac:dyDescent="0.25">
      <c r="A49" s="64" t="s">
        <v>214</v>
      </c>
      <c r="B49" s="65" t="s">
        <v>170</v>
      </c>
      <c r="C49" s="66"/>
      <c r="D49" s="143"/>
      <c r="E49" s="143"/>
      <c r="F49" s="66"/>
      <c r="G49" s="66"/>
      <c r="H49" s="66"/>
      <c r="I49" s="144" t="s">
        <v>215</v>
      </c>
      <c r="J49" s="145"/>
      <c r="K49" s="224">
        <v>143.55000000000001</v>
      </c>
      <c r="L49" s="31" t="str">
        <f t="shared" si="0"/>
        <v>-</v>
      </c>
    </row>
    <row r="50" spans="1:12" ht="63" hidden="1" x14ac:dyDescent="0.25">
      <c r="A50" s="64" t="s">
        <v>186</v>
      </c>
      <c r="B50" s="65" t="s">
        <v>170</v>
      </c>
      <c r="C50" s="66"/>
      <c r="D50" s="143"/>
      <c r="E50" s="143"/>
      <c r="F50" s="66"/>
      <c r="G50" s="66"/>
      <c r="H50" s="66"/>
      <c r="I50" s="144" t="s">
        <v>216</v>
      </c>
      <c r="J50" s="145"/>
      <c r="K50" s="224">
        <v>1753761.49</v>
      </c>
      <c r="L50" s="31" t="str">
        <f t="shared" si="0"/>
        <v>-</v>
      </c>
    </row>
    <row r="51" spans="1:12" ht="47.25" x14ac:dyDescent="0.25">
      <c r="A51" s="64" t="s">
        <v>196</v>
      </c>
      <c r="B51" s="65" t="s">
        <v>170</v>
      </c>
      <c r="C51" s="61" t="s">
        <v>1</v>
      </c>
      <c r="D51" s="140" t="s">
        <v>538</v>
      </c>
      <c r="E51" s="140" t="s">
        <v>542</v>
      </c>
      <c r="F51" s="66" t="s">
        <v>570</v>
      </c>
      <c r="G51" s="66"/>
      <c r="H51" s="66"/>
      <c r="I51" s="144" t="s">
        <v>574</v>
      </c>
      <c r="J51" s="145"/>
      <c r="K51" s="224">
        <f>6109741.12/1000</f>
        <v>6109.7411199999997</v>
      </c>
      <c r="L51" s="31" t="str">
        <f t="shared" si="0"/>
        <v>-</v>
      </c>
    </row>
    <row r="52" spans="1:12" ht="21.75" hidden="1" customHeight="1" x14ac:dyDescent="0.25">
      <c r="A52" s="64" t="s">
        <v>198</v>
      </c>
      <c r="B52" s="65" t="s">
        <v>170</v>
      </c>
      <c r="C52" s="66"/>
      <c r="D52" s="143"/>
      <c r="E52" s="143"/>
      <c r="F52" s="66"/>
      <c r="G52" s="66"/>
      <c r="H52" s="66"/>
      <c r="I52" s="144" t="s">
        <v>218</v>
      </c>
      <c r="J52" s="145"/>
      <c r="K52" s="224">
        <v>666789.56000000006</v>
      </c>
      <c r="L52" s="31" t="str">
        <f t="shared" si="0"/>
        <v>-</v>
      </c>
    </row>
    <row r="53" spans="1:12" ht="47.25" hidden="1" x14ac:dyDescent="0.25">
      <c r="A53" s="69" t="s">
        <v>200</v>
      </c>
      <c r="B53" s="65" t="s">
        <v>170</v>
      </c>
      <c r="C53" s="66"/>
      <c r="D53" s="143"/>
      <c r="E53" s="143"/>
      <c r="F53" s="66"/>
      <c r="G53" s="66"/>
      <c r="H53" s="66"/>
      <c r="I53" s="144" t="s">
        <v>219</v>
      </c>
      <c r="J53" s="145"/>
      <c r="K53" s="224">
        <v>5442951.5599999996</v>
      </c>
      <c r="L53" s="31" t="str">
        <f t="shared" si="0"/>
        <v>-</v>
      </c>
    </row>
    <row r="54" spans="1:12" ht="63" x14ac:dyDescent="0.25">
      <c r="A54" s="70" t="s">
        <v>220</v>
      </c>
      <c r="B54" s="65" t="s">
        <v>170</v>
      </c>
      <c r="C54" s="61" t="s">
        <v>1</v>
      </c>
      <c r="D54" s="140" t="s">
        <v>538</v>
      </c>
      <c r="E54" s="140" t="s">
        <v>542</v>
      </c>
      <c r="F54" s="66" t="s">
        <v>575</v>
      </c>
      <c r="G54" s="66"/>
      <c r="H54" s="66"/>
      <c r="I54" s="144"/>
      <c r="J54" s="145"/>
      <c r="K54" s="224">
        <f>321300/1000</f>
        <v>321.3</v>
      </c>
      <c r="L54" s="31" t="str">
        <f t="shared" si="0"/>
        <v>-</v>
      </c>
    </row>
    <row r="55" spans="1:12" ht="31.5" x14ac:dyDescent="0.25">
      <c r="A55" s="139" t="s">
        <v>157</v>
      </c>
      <c r="B55" s="65" t="s">
        <v>170</v>
      </c>
      <c r="C55" s="61" t="s">
        <v>1</v>
      </c>
      <c r="D55" s="140" t="s">
        <v>538</v>
      </c>
      <c r="E55" s="140" t="s">
        <v>542</v>
      </c>
      <c r="F55" s="66" t="s">
        <v>575</v>
      </c>
      <c r="G55" s="66"/>
      <c r="H55" s="66"/>
      <c r="I55" s="144" t="s">
        <v>576</v>
      </c>
      <c r="J55" s="145"/>
      <c r="K55" s="224">
        <f>321300/1000</f>
        <v>321.3</v>
      </c>
      <c r="L55" s="31" t="str">
        <f t="shared" si="0"/>
        <v>-</v>
      </c>
    </row>
    <row r="56" spans="1:12" ht="126" x14ac:dyDescent="0.25">
      <c r="A56" s="70" t="s">
        <v>223</v>
      </c>
      <c r="B56" s="65" t="s">
        <v>170</v>
      </c>
      <c r="C56" s="61" t="s">
        <v>1</v>
      </c>
      <c r="D56" s="140" t="s">
        <v>538</v>
      </c>
      <c r="E56" s="140" t="s">
        <v>542</v>
      </c>
      <c r="F56" s="66" t="s">
        <v>577</v>
      </c>
      <c r="G56" s="66"/>
      <c r="H56" s="66"/>
      <c r="I56" s="144"/>
      <c r="J56" s="145"/>
      <c r="K56" s="224">
        <f>213000/1000</f>
        <v>213</v>
      </c>
      <c r="L56" s="31" t="str">
        <f t="shared" si="0"/>
        <v>-</v>
      </c>
    </row>
    <row r="57" spans="1:12" ht="31.5" x14ac:dyDescent="0.25">
      <c r="A57" s="139" t="s">
        <v>157</v>
      </c>
      <c r="B57" s="65" t="s">
        <v>170</v>
      </c>
      <c r="C57" s="61" t="s">
        <v>1</v>
      </c>
      <c r="D57" s="140" t="s">
        <v>538</v>
      </c>
      <c r="E57" s="140" t="s">
        <v>542</v>
      </c>
      <c r="F57" s="66" t="s">
        <v>577</v>
      </c>
      <c r="G57" s="66"/>
      <c r="H57" s="66"/>
      <c r="I57" s="144" t="s">
        <v>576</v>
      </c>
      <c r="J57" s="145"/>
      <c r="K57" s="224">
        <f>213000/1000</f>
        <v>213</v>
      </c>
      <c r="L57" s="31" t="str">
        <f t="shared" si="0"/>
        <v>-</v>
      </c>
    </row>
    <row r="58" spans="1:12" ht="78.75" x14ac:dyDescent="0.25">
      <c r="A58" s="70" t="s">
        <v>226</v>
      </c>
      <c r="B58" s="65" t="s">
        <v>170</v>
      </c>
      <c r="C58" s="61" t="s">
        <v>1</v>
      </c>
      <c r="D58" s="140" t="s">
        <v>538</v>
      </c>
      <c r="E58" s="140" t="s">
        <v>542</v>
      </c>
      <c r="F58" s="66" t="s">
        <v>578</v>
      </c>
      <c r="G58" s="66"/>
      <c r="H58" s="66"/>
      <c r="I58" s="144"/>
      <c r="J58" s="145"/>
      <c r="K58" s="224">
        <f>43950/1000</f>
        <v>43.95</v>
      </c>
      <c r="L58" s="31" t="str">
        <f t="shared" si="0"/>
        <v>-</v>
      </c>
    </row>
    <row r="59" spans="1:12" ht="31.5" x14ac:dyDescent="0.25">
      <c r="A59" s="139" t="s">
        <v>157</v>
      </c>
      <c r="B59" s="65" t="s">
        <v>170</v>
      </c>
      <c r="C59" s="61" t="s">
        <v>1</v>
      </c>
      <c r="D59" s="140" t="s">
        <v>538</v>
      </c>
      <c r="E59" s="140" t="s">
        <v>542</v>
      </c>
      <c r="F59" s="66" t="s">
        <v>578</v>
      </c>
      <c r="G59" s="66"/>
      <c r="H59" s="66"/>
      <c r="I59" s="144" t="s">
        <v>579</v>
      </c>
      <c r="J59" s="145"/>
      <c r="K59" s="224">
        <f>43950/1000</f>
        <v>43.95</v>
      </c>
      <c r="L59" s="31" t="str">
        <f t="shared" si="0"/>
        <v>-</v>
      </c>
    </row>
    <row r="60" spans="1:12" ht="31.5" x14ac:dyDescent="0.25">
      <c r="A60" s="70" t="s">
        <v>178</v>
      </c>
      <c r="B60" s="65" t="s">
        <v>170</v>
      </c>
      <c r="C60" s="61" t="s">
        <v>1</v>
      </c>
      <c r="D60" s="140" t="s">
        <v>538</v>
      </c>
      <c r="E60" s="140" t="s">
        <v>542</v>
      </c>
      <c r="F60" s="66" t="s">
        <v>580</v>
      </c>
      <c r="G60" s="66"/>
      <c r="H60" s="66"/>
      <c r="I60" s="144"/>
      <c r="J60" s="145"/>
      <c r="K60" s="224">
        <f>1316070.12/1000</f>
        <v>1316.0701200000001</v>
      </c>
      <c r="L60" s="31" t="str">
        <f t="shared" si="0"/>
        <v>-</v>
      </c>
    </row>
    <row r="61" spans="1:12" ht="63" x14ac:dyDescent="0.25">
      <c r="A61" s="70" t="s">
        <v>230</v>
      </c>
      <c r="B61" s="65" t="s">
        <v>170</v>
      </c>
      <c r="C61" s="61" t="s">
        <v>1</v>
      </c>
      <c r="D61" s="140" t="s">
        <v>538</v>
      </c>
      <c r="E61" s="140" t="s">
        <v>542</v>
      </c>
      <c r="F61" s="66" t="s">
        <v>581</v>
      </c>
      <c r="G61" s="66"/>
      <c r="H61" s="66"/>
      <c r="I61" s="144"/>
      <c r="J61" s="145"/>
      <c r="K61" s="224">
        <f>1316070.12/1000</f>
        <v>1316.0701200000001</v>
      </c>
      <c r="L61" s="31" t="str">
        <f t="shared" si="0"/>
        <v>-</v>
      </c>
    </row>
    <row r="62" spans="1:12" ht="32.25" thickBot="1" x14ac:dyDescent="0.3">
      <c r="A62" s="59" t="s">
        <v>182</v>
      </c>
      <c r="B62" s="65" t="s">
        <v>170</v>
      </c>
      <c r="C62" s="61" t="s">
        <v>1</v>
      </c>
      <c r="D62" s="140" t="s">
        <v>538</v>
      </c>
      <c r="E62" s="140" t="s">
        <v>542</v>
      </c>
      <c r="F62" s="66" t="s">
        <v>581</v>
      </c>
      <c r="G62" s="66"/>
      <c r="H62" s="66"/>
      <c r="I62" s="144" t="s">
        <v>582</v>
      </c>
      <c r="J62" s="145"/>
      <c r="K62" s="224">
        <f>1316070.12/1000</f>
        <v>1316.0701200000001</v>
      </c>
      <c r="L62" s="31" t="str">
        <f t="shared" si="0"/>
        <v>-</v>
      </c>
    </row>
    <row r="63" spans="1:12" ht="31.5" hidden="1" x14ac:dyDescent="0.25">
      <c r="A63" s="64" t="s">
        <v>184</v>
      </c>
      <c r="B63" s="65" t="s">
        <v>170</v>
      </c>
      <c r="C63" s="66"/>
      <c r="D63" s="143"/>
      <c r="E63" s="143"/>
      <c r="F63" s="66"/>
      <c r="G63" s="66"/>
      <c r="H63" s="66"/>
      <c r="I63" s="144" t="s">
        <v>233</v>
      </c>
      <c r="J63" s="145"/>
      <c r="K63" s="224">
        <v>1037709.22</v>
      </c>
      <c r="L63" s="31" t="str">
        <f t="shared" si="0"/>
        <v>-</v>
      </c>
    </row>
    <row r="64" spans="1:12" ht="63" hidden="1" x14ac:dyDescent="0.25">
      <c r="A64" s="69" t="s">
        <v>186</v>
      </c>
      <c r="B64" s="71" t="s">
        <v>170</v>
      </c>
      <c r="C64" s="72"/>
      <c r="D64" s="146"/>
      <c r="E64" s="146"/>
      <c r="F64" s="72"/>
      <c r="G64" s="72"/>
      <c r="H64" s="72"/>
      <c r="I64" s="147" t="s">
        <v>234</v>
      </c>
      <c r="J64" s="148"/>
      <c r="K64" s="225">
        <v>278360.90000000002</v>
      </c>
      <c r="L64" s="31" t="str">
        <f t="shared" si="0"/>
        <v>-</v>
      </c>
    </row>
    <row r="65" spans="1:12" ht="63.75" thickBot="1" x14ac:dyDescent="0.3">
      <c r="A65" s="54" t="s">
        <v>235</v>
      </c>
      <c r="B65" s="55" t="s">
        <v>170</v>
      </c>
      <c r="C65" s="56" t="s">
        <v>1</v>
      </c>
      <c r="D65" s="136" t="s">
        <v>538</v>
      </c>
      <c r="E65" s="136" t="s">
        <v>543</v>
      </c>
      <c r="F65" s="56"/>
      <c r="G65" s="56"/>
      <c r="H65" s="56"/>
      <c r="I65" s="137"/>
      <c r="J65" s="138"/>
      <c r="K65" s="215">
        <f>199492/1000</f>
        <v>199.49199999999999</v>
      </c>
      <c r="L65" s="29" t="str">
        <f t="shared" si="0"/>
        <v>-</v>
      </c>
    </row>
    <row r="66" spans="1:12" ht="63" x14ac:dyDescent="0.25">
      <c r="A66" s="139" t="s">
        <v>235</v>
      </c>
      <c r="B66" s="81" t="s">
        <v>170</v>
      </c>
      <c r="C66" s="61" t="s">
        <v>1</v>
      </c>
      <c r="D66" s="140" t="s">
        <v>538</v>
      </c>
      <c r="E66" s="140" t="s">
        <v>543</v>
      </c>
      <c r="F66" s="61" t="s">
        <v>565</v>
      </c>
      <c r="G66" s="82"/>
      <c r="H66" s="82"/>
      <c r="I66" s="127"/>
      <c r="J66" s="128"/>
      <c r="K66" s="218">
        <f>199492/1000</f>
        <v>199.49199999999999</v>
      </c>
      <c r="L66" s="29" t="str">
        <f t="shared" si="0"/>
        <v>-</v>
      </c>
    </row>
    <row r="67" spans="1:12" ht="31.5" x14ac:dyDescent="0.25">
      <c r="A67" s="70" t="s">
        <v>178</v>
      </c>
      <c r="B67" s="65" t="s">
        <v>170</v>
      </c>
      <c r="C67" s="61" t="s">
        <v>1</v>
      </c>
      <c r="D67" s="140" t="s">
        <v>538</v>
      </c>
      <c r="E67" s="140" t="s">
        <v>543</v>
      </c>
      <c r="F67" s="66" t="s">
        <v>569</v>
      </c>
      <c r="G67" s="66"/>
      <c r="H67" s="66"/>
      <c r="I67" s="144"/>
      <c r="J67" s="145"/>
      <c r="K67" s="224">
        <f>199492/1000</f>
        <v>199.49199999999999</v>
      </c>
      <c r="L67" s="31" t="str">
        <f t="shared" si="0"/>
        <v>-</v>
      </c>
    </row>
    <row r="68" spans="1:12" ht="63" x14ac:dyDescent="0.25">
      <c r="A68" s="70" t="s">
        <v>238</v>
      </c>
      <c r="B68" s="65" t="s">
        <v>170</v>
      </c>
      <c r="C68" s="61" t="s">
        <v>1</v>
      </c>
      <c r="D68" s="140" t="s">
        <v>538</v>
      </c>
      <c r="E68" s="140" t="s">
        <v>543</v>
      </c>
      <c r="F68" s="66" t="s">
        <v>583</v>
      </c>
      <c r="G68" s="66"/>
      <c r="H68" s="66"/>
      <c r="I68" s="144"/>
      <c r="J68" s="145"/>
      <c r="K68" s="224">
        <f>199492/1000</f>
        <v>199.49199999999999</v>
      </c>
      <c r="L68" s="31" t="str">
        <f t="shared" si="0"/>
        <v>-</v>
      </c>
    </row>
    <row r="69" spans="1:12" ht="32.25" thickBot="1" x14ac:dyDescent="0.3">
      <c r="A69" s="139" t="s">
        <v>157</v>
      </c>
      <c r="B69" s="71" t="s">
        <v>170</v>
      </c>
      <c r="C69" s="149" t="s">
        <v>1</v>
      </c>
      <c r="D69" s="150" t="s">
        <v>538</v>
      </c>
      <c r="E69" s="150" t="s">
        <v>543</v>
      </c>
      <c r="F69" s="72" t="s">
        <v>583</v>
      </c>
      <c r="G69" s="72"/>
      <c r="H69" s="72"/>
      <c r="I69" s="147" t="s">
        <v>576</v>
      </c>
      <c r="J69" s="148"/>
      <c r="K69" s="225">
        <f>199492/1000</f>
        <v>199.49199999999999</v>
      </c>
      <c r="L69" s="31" t="str">
        <f t="shared" si="0"/>
        <v>-</v>
      </c>
    </row>
    <row r="70" spans="1:12" ht="32.25" thickBot="1" x14ac:dyDescent="0.3">
      <c r="A70" s="54" t="s">
        <v>241</v>
      </c>
      <c r="B70" s="55" t="s">
        <v>170</v>
      </c>
      <c r="C70" s="56" t="s">
        <v>1</v>
      </c>
      <c r="D70" s="136" t="s">
        <v>538</v>
      </c>
      <c r="E70" s="136" t="s">
        <v>544</v>
      </c>
      <c r="F70" s="56"/>
      <c r="G70" s="56"/>
      <c r="H70" s="56"/>
      <c r="I70" s="137"/>
      <c r="J70" s="138"/>
      <c r="K70" s="215">
        <f>777586.1/1000</f>
        <v>777.58609999999999</v>
      </c>
      <c r="L70" s="29" t="str">
        <f t="shared" si="0"/>
        <v>-</v>
      </c>
    </row>
    <row r="71" spans="1:12" ht="31.5" x14ac:dyDescent="0.25">
      <c r="A71" s="139" t="s">
        <v>241</v>
      </c>
      <c r="B71" s="81" t="s">
        <v>170</v>
      </c>
      <c r="C71" s="61" t="s">
        <v>1</v>
      </c>
      <c r="D71" s="140" t="s">
        <v>538</v>
      </c>
      <c r="E71" s="140" t="s">
        <v>544</v>
      </c>
      <c r="F71" s="61" t="s">
        <v>584</v>
      </c>
      <c r="G71" s="82"/>
      <c r="H71" s="82"/>
      <c r="I71" s="127"/>
      <c r="J71" s="128"/>
      <c r="K71" s="218">
        <f>777586.1/1000</f>
        <v>777.58609999999999</v>
      </c>
      <c r="L71" s="29" t="str">
        <f t="shared" si="0"/>
        <v>-</v>
      </c>
    </row>
    <row r="72" spans="1:12" ht="31.5" x14ac:dyDescent="0.25">
      <c r="A72" s="70" t="s">
        <v>178</v>
      </c>
      <c r="B72" s="65" t="s">
        <v>170</v>
      </c>
      <c r="C72" s="82" t="s">
        <v>1</v>
      </c>
      <c r="D72" s="140" t="s">
        <v>538</v>
      </c>
      <c r="E72" s="140" t="s">
        <v>544</v>
      </c>
      <c r="F72" s="66" t="s">
        <v>585</v>
      </c>
      <c r="G72" s="66"/>
      <c r="H72" s="66"/>
      <c r="I72" s="144"/>
      <c r="J72" s="145"/>
      <c r="K72" s="224">
        <f>777586.1/1000</f>
        <v>777.58609999999999</v>
      </c>
      <c r="L72" s="31" t="str">
        <f t="shared" si="0"/>
        <v>-</v>
      </c>
    </row>
    <row r="73" spans="1:12" ht="78.75" x14ac:dyDescent="0.25">
      <c r="A73" s="70" t="s">
        <v>244</v>
      </c>
      <c r="B73" s="65" t="s">
        <v>170</v>
      </c>
      <c r="C73" s="82" t="s">
        <v>1</v>
      </c>
      <c r="D73" s="140" t="s">
        <v>538</v>
      </c>
      <c r="E73" s="140" t="s">
        <v>544</v>
      </c>
      <c r="F73" s="66" t="s">
        <v>586</v>
      </c>
      <c r="G73" s="66"/>
      <c r="H73" s="66"/>
      <c r="I73" s="144"/>
      <c r="J73" s="145"/>
      <c r="K73" s="224">
        <f>777586.1/1000</f>
        <v>777.58609999999999</v>
      </c>
      <c r="L73" s="31" t="str">
        <f t="shared" si="0"/>
        <v>-</v>
      </c>
    </row>
    <row r="74" spans="1:12" ht="48" thickBot="1" x14ac:dyDescent="0.3">
      <c r="A74" s="59" t="s">
        <v>196</v>
      </c>
      <c r="B74" s="65" t="s">
        <v>170</v>
      </c>
      <c r="C74" s="82" t="s">
        <v>1</v>
      </c>
      <c r="D74" s="140" t="s">
        <v>538</v>
      </c>
      <c r="E74" s="140" t="s">
        <v>544</v>
      </c>
      <c r="F74" s="66" t="s">
        <v>586</v>
      </c>
      <c r="G74" s="66"/>
      <c r="H74" s="66"/>
      <c r="I74" s="144" t="s">
        <v>587</v>
      </c>
      <c r="J74" s="145"/>
      <c r="K74" s="224">
        <f>777586.1/1000</f>
        <v>777.58609999999999</v>
      </c>
      <c r="L74" s="31" t="str">
        <f t="shared" si="0"/>
        <v>-</v>
      </c>
    </row>
    <row r="75" spans="1:12" ht="47.25" hidden="1" x14ac:dyDescent="0.25">
      <c r="A75" s="64" t="s">
        <v>200</v>
      </c>
      <c r="B75" s="65" t="s">
        <v>170</v>
      </c>
      <c r="C75" s="66"/>
      <c r="D75" s="143"/>
      <c r="E75" s="143"/>
      <c r="F75" s="66"/>
      <c r="G75" s="66"/>
      <c r="H75" s="66"/>
      <c r="I75" s="144" t="s">
        <v>247</v>
      </c>
      <c r="J75" s="145"/>
      <c r="K75" s="224">
        <v>777586.1</v>
      </c>
      <c r="L75" s="31" t="str">
        <f t="shared" si="0"/>
        <v>-</v>
      </c>
    </row>
    <row r="76" spans="1:12" ht="31.5" hidden="1" x14ac:dyDescent="0.25">
      <c r="A76" s="80" t="s">
        <v>248</v>
      </c>
      <c r="B76" s="81" t="s">
        <v>170</v>
      </c>
      <c r="C76" s="82"/>
      <c r="D76" s="126"/>
      <c r="E76" s="126"/>
      <c r="F76" s="82"/>
      <c r="G76" s="82"/>
      <c r="H76" s="82"/>
      <c r="I76" s="127" t="s">
        <v>249</v>
      </c>
      <c r="J76" s="128"/>
      <c r="K76" s="227" t="s">
        <v>21</v>
      </c>
      <c r="L76" s="29" t="str">
        <f t="shared" si="0"/>
        <v>-</v>
      </c>
    </row>
    <row r="77" spans="1:12" ht="31.5" hidden="1" x14ac:dyDescent="0.25">
      <c r="A77" s="80" t="s">
        <v>248</v>
      </c>
      <c r="B77" s="81" t="s">
        <v>170</v>
      </c>
      <c r="C77" s="82"/>
      <c r="D77" s="126"/>
      <c r="E77" s="126"/>
      <c r="F77" s="82"/>
      <c r="G77" s="82"/>
      <c r="H77" s="82"/>
      <c r="I77" s="127" t="s">
        <v>250</v>
      </c>
      <c r="J77" s="128"/>
      <c r="K77" s="227" t="s">
        <v>21</v>
      </c>
      <c r="L77" s="29" t="str">
        <f t="shared" si="0"/>
        <v>-</v>
      </c>
    </row>
    <row r="78" spans="1:12" ht="31.5" hidden="1" x14ac:dyDescent="0.25">
      <c r="A78" s="64" t="s">
        <v>178</v>
      </c>
      <c r="B78" s="65" t="s">
        <v>170</v>
      </c>
      <c r="C78" s="66"/>
      <c r="D78" s="143"/>
      <c r="E78" s="143"/>
      <c r="F78" s="66"/>
      <c r="G78" s="66"/>
      <c r="H78" s="66"/>
      <c r="I78" s="144" t="s">
        <v>251</v>
      </c>
      <c r="J78" s="145"/>
      <c r="K78" s="224" t="s">
        <v>21</v>
      </c>
      <c r="L78" s="31" t="str">
        <f t="shared" si="0"/>
        <v>-</v>
      </c>
    </row>
    <row r="79" spans="1:12" ht="63" hidden="1" x14ac:dyDescent="0.25">
      <c r="A79" s="64" t="s">
        <v>252</v>
      </c>
      <c r="B79" s="65" t="s">
        <v>170</v>
      </c>
      <c r="C79" s="66"/>
      <c r="D79" s="143"/>
      <c r="E79" s="143"/>
      <c r="F79" s="66"/>
      <c r="G79" s="66"/>
      <c r="H79" s="66"/>
      <c r="I79" s="144" t="s">
        <v>253</v>
      </c>
      <c r="J79" s="145"/>
      <c r="K79" s="224" t="s">
        <v>21</v>
      </c>
      <c r="L79" s="31" t="str">
        <f t="shared" si="0"/>
        <v>-</v>
      </c>
    </row>
    <row r="80" spans="1:12" ht="31.5" hidden="1" x14ac:dyDescent="0.25">
      <c r="A80" s="69" t="s">
        <v>254</v>
      </c>
      <c r="B80" s="71" t="s">
        <v>170</v>
      </c>
      <c r="C80" s="72"/>
      <c r="D80" s="146"/>
      <c r="E80" s="146"/>
      <c r="F80" s="72"/>
      <c r="G80" s="72"/>
      <c r="H80" s="72"/>
      <c r="I80" s="147" t="s">
        <v>255</v>
      </c>
      <c r="J80" s="148"/>
      <c r="K80" s="225" t="s">
        <v>21</v>
      </c>
      <c r="L80" s="31" t="str">
        <f t="shared" si="0"/>
        <v>-</v>
      </c>
    </row>
    <row r="81" spans="1:12" ht="32.25" thickBot="1" x14ac:dyDescent="0.3">
      <c r="A81" s="54" t="s">
        <v>256</v>
      </c>
      <c r="B81" s="55" t="s">
        <v>170</v>
      </c>
      <c r="C81" s="56" t="s">
        <v>1</v>
      </c>
      <c r="D81" s="136" t="s">
        <v>538</v>
      </c>
      <c r="E81" s="136" t="s">
        <v>545</v>
      </c>
      <c r="F81" s="56"/>
      <c r="G81" s="56"/>
      <c r="H81" s="56"/>
      <c r="I81" s="137"/>
      <c r="J81" s="138"/>
      <c r="K81" s="215">
        <f>771934.86/1000</f>
        <v>771.93485999999996</v>
      </c>
      <c r="L81" s="29" t="str">
        <f t="shared" si="0"/>
        <v>-</v>
      </c>
    </row>
    <row r="82" spans="1:12" ht="31.5" x14ac:dyDescent="0.25">
      <c r="A82" s="139" t="s">
        <v>256</v>
      </c>
      <c r="B82" s="81" t="s">
        <v>170</v>
      </c>
      <c r="C82" s="61" t="s">
        <v>1</v>
      </c>
      <c r="D82" s="140" t="s">
        <v>538</v>
      </c>
      <c r="E82" s="140" t="s">
        <v>545</v>
      </c>
      <c r="F82" s="61" t="s">
        <v>588</v>
      </c>
      <c r="G82" s="82"/>
      <c r="H82" s="82"/>
      <c r="I82" s="127"/>
      <c r="J82" s="128"/>
      <c r="K82" s="218">
        <f>771934.86/1000</f>
        <v>771.93485999999996</v>
      </c>
      <c r="L82" s="29" t="str">
        <f t="shared" si="0"/>
        <v>-</v>
      </c>
    </row>
    <row r="83" spans="1:12" ht="31.5" x14ac:dyDescent="0.25">
      <c r="A83" s="70" t="s">
        <v>178</v>
      </c>
      <c r="B83" s="65" t="s">
        <v>170</v>
      </c>
      <c r="C83" s="61" t="s">
        <v>1</v>
      </c>
      <c r="D83" s="140" t="s">
        <v>538</v>
      </c>
      <c r="E83" s="143" t="s">
        <v>545</v>
      </c>
      <c r="F83" s="66" t="s">
        <v>589</v>
      </c>
      <c r="G83" s="66"/>
      <c r="H83" s="66"/>
      <c r="I83" s="144"/>
      <c r="J83" s="145"/>
      <c r="K83" s="224">
        <f>771934.86/1000</f>
        <v>771.93485999999996</v>
      </c>
      <c r="L83" s="31" t="str">
        <f t="shared" si="0"/>
        <v>-</v>
      </c>
    </row>
    <row r="84" spans="1:12" ht="31.5" x14ac:dyDescent="0.25">
      <c r="A84" s="139" t="s">
        <v>259</v>
      </c>
      <c r="B84" s="65" t="s">
        <v>170</v>
      </c>
      <c r="C84" s="61" t="s">
        <v>1</v>
      </c>
      <c r="D84" s="140" t="s">
        <v>538</v>
      </c>
      <c r="E84" s="143" t="s">
        <v>545</v>
      </c>
      <c r="F84" s="66" t="s">
        <v>590</v>
      </c>
      <c r="G84" s="66"/>
      <c r="H84" s="66"/>
      <c r="I84" s="144"/>
      <c r="J84" s="145"/>
      <c r="K84" s="224">
        <f>771934.86/1000</f>
        <v>771.93485999999996</v>
      </c>
      <c r="L84" s="31" t="str">
        <f t="shared" ref="L84:L147" si="1">IF(OR(J84="-",IF(K84="-",0,K84)&gt;=IF(J84="-",0,J84)),"-",IF(J84="-",0,J84)-IF(K84="-",0,K84))</f>
        <v>-</v>
      </c>
    </row>
    <row r="85" spans="1:12" ht="47.25" x14ac:dyDescent="0.25">
      <c r="A85" s="70" t="s">
        <v>196</v>
      </c>
      <c r="B85" s="65" t="s">
        <v>170</v>
      </c>
      <c r="C85" s="61" t="s">
        <v>1</v>
      </c>
      <c r="D85" s="140" t="s">
        <v>538</v>
      </c>
      <c r="E85" s="143" t="s">
        <v>545</v>
      </c>
      <c r="F85" s="66" t="s">
        <v>590</v>
      </c>
      <c r="G85" s="66"/>
      <c r="H85" s="66"/>
      <c r="I85" s="144" t="s">
        <v>571</v>
      </c>
      <c r="J85" s="145"/>
      <c r="K85" s="224">
        <f>651858/1000</f>
        <v>651.85799999999995</v>
      </c>
      <c r="L85" s="31" t="str">
        <f t="shared" si="1"/>
        <v>-</v>
      </c>
    </row>
    <row r="86" spans="1:12" ht="47.25" hidden="1" x14ac:dyDescent="0.25">
      <c r="A86" s="139" t="s">
        <v>200</v>
      </c>
      <c r="B86" s="65" t="s">
        <v>170</v>
      </c>
      <c r="C86" s="61" t="s">
        <v>1</v>
      </c>
      <c r="D86" s="140" t="s">
        <v>538</v>
      </c>
      <c r="E86" s="143"/>
      <c r="F86" s="66"/>
      <c r="G86" s="66"/>
      <c r="H86" s="66"/>
      <c r="I86" s="144" t="s">
        <v>262</v>
      </c>
      <c r="J86" s="145"/>
      <c r="K86" s="224">
        <v>651858</v>
      </c>
      <c r="L86" s="31" t="str">
        <f t="shared" si="1"/>
        <v>-</v>
      </c>
    </row>
    <row r="87" spans="1:12" ht="31.5" x14ac:dyDescent="0.25">
      <c r="A87" s="70" t="s">
        <v>263</v>
      </c>
      <c r="B87" s="65" t="s">
        <v>170</v>
      </c>
      <c r="C87" s="61" t="s">
        <v>1</v>
      </c>
      <c r="D87" s="140" t="s">
        <v>538</v>
      </c>
      <c r="E87" s="143" t="s">
        <v>545</v>
      </c>
      <c r="F87" s="66" t="s">
        <v>590</v>
      </c>
      <c r="G87" s="66"/>
      <c r="H87" s="66"/>
      <c r="I87" s="144" t="s">
        <v>591</v>
      </c>
      <c r="J87" s="145"/>
      <c r="K87" s="224">
        <f>75346.46/1000</f>
        <v>75.346460000000008</v>
      </c>
      <c r="L87" s="31" t="str">
        <f t="shared" si="1"/>
        <v>-</v>
      </c>
    </row>
    <row r="88" spans="1:12" ht="47.25" hidden="1" x14ac:dyDescent="0.25">
      <c r="A88" s="59" t="s">
        <v>265</v>
      </c>
      <c r="B88" s="65" t="s">
        <v>170</v>
      </c>
      <c r="C88" s="61" t="s">
        <v>1</v>
      </c>
      <c r="D88" s="140" t="s">
        <v>538</v>
      </c>
      <c r="E88" s="143"/>
      <c r="F88" s="66"/>
      <c r="G88" s="66"/>
      <c r="H88" s="66"/>
      <c r="I88" s="144" t="s">
        <v>266</v>
      </c>
      <c r="J88" s="145"/>
      <c r="K88" s="224">
        <v>75346.460000000006</v>
      </c>
      <c r="L88" s="31" t="str">
        <f t="shared" si="1"/>
        <v>-</v>
      </c>
    </row>
    <row r="89" spans="1:12" ht="32.25" thickBot="1" x14ac:dyDescent="0.3">
      <c r="A89" s="64" t="s">
        <v>202</v>
      </c>
      <c r="B89" s="65" t="s">
        <v>170</v>
      </c>
      <c r="C89" s="61" t="s">
        <v>1</v>
      </c>
      <c r="D89" s="140" t="s">
        <v>538</v>
      </c>
      <c r="E89" s="143" t="s">
        <v>545</v>
      </c>
      <c r="F89" s="66" t="s">
        <v>590</v>
      </c>
      <c r="G89" s="66"/>
      <c r="H89" s="66"/>
      <c r="I89" s="144" t="s">
        <v>572</v>
      </c>
      <c r="J89" s="145"/>
      <c r="K89" s="224">
        <f>44730.4/1000</f>
        <v>44.730400000000003</v>
      </c>
      <c r="L89" s="31" t="str">
        <f t="shared" si="1"/>
        <v>-</v>
      </c>
    </row>
    <row r="90" spans="1:12" ht="31.5" hidden="1" x14ac:dyDescent="0.25">
      <c r="A90" s="64" t="s">
        <v>204</v>
      </c>
      <c r="B90" s="65" t="s">
        <v>170</v>
      </c>
      <c r="C90" s="66"/>
      <c r="D90" s="143"/>
      <c r="E90" s="143"/>
      <c r="F90" s="66"/>
      <c r="G90" s="66"/>
      <c r="H90" s="66"/>
      <c r="I90" s="144" t="s">
        <v>268</v>
      </c>
      <c r="J90" s="145"/>
      <c r="K90" s="224" t="s">
        <v>21</v>
      </c>
      <c r="L90" s="31" t="str">
        <f t="shared" si="1"/>
        <v>-</v>
      </c>
    </row>
    <row r="91" spans="1:12" ht="31.5" hidden="1" x14ac:dyDescent="0.25">
      <c r="A91" s="69" t="s">
        <v>206</v>
      </c>
      <c r="B91" s="71" t="s">
        <v>170</v>
      </c>
      <c r="C91" s="72"/>
      <c r="D91" s="146"/>
      <c r="E91" s="146"/>
      <c r="F91" s="72"/>
      <c r="G91" s="72"/>
      <c r="H91" s="72"/>
      <c r="I91" s="147" t="s">
        <v>269</v>
      </c>
      <c r="J91" s="148"/>
      <c r="K91" s="225">
        <v>44730.400000000001</v>
      </c>
      <c r="L91" s="31" t="str">
        <f t="shared" si="1"/>
        <v>-</v>
      </c>
    </row>
    <row r="92" spans="1:12" ht="32.25" thickBot="1" x14ac:dyDescent="0.3">
      <c r="A92" s="114" t="s">
        <v>270</v>
      </c>
      <c r="B92" s="115" t="s">
        <v>170</v>
      </c>
      <c r="C92" s="116" t="s">
        <v>1</v>
      </c>
      <c r="D92" s="135" t="s">
        <v>540</v>
      </c>
      <c r="E92" s="135"/>
      <c r="F92" s="116"/>
      <c r="G92" s="116"/>
      <c r="H92" s="116"/>
      <c r="I92" s="119"/>
      <c r="J92" s="120"/>
      <c r="K92" s="230">
        <f>596746.74/1000</f>
        <v>596.74674000000005</v>
      </c>
      <c r="L92" s="29" t="str">
        <f t="shared" si="1"/>
        <v>-</v>
      </c>
    </row>
    <row r="93" spans="1:12" ht="31.5" x14ac:dyDescent="0.25">
      <c r="A93" s="139" t="s">
        <v>271</v>
      </c>
      <c r="B93" s="60" t="s">
        <v>170</v>
      </c>
      <c r="C93" s="61" t="s">
        <v>1</v>
      </c>
      <c r="D93" s="140" t="s">
        <v>540</v>
      </c>
      <c r="E93" s="140" t="s">
        <v>541</v>
      </c>
      <c r="F93" s="61"/>
      <c r="G93" s="61"/>
      <c r="H93" s="61"/>
      <c r="I93" s="141"/>
      <c r="J93" s="142"/>
      <c r="K93" s="218">
        <f>596746.74/1000</f>
        <v>596.74674000000005</v>
      </c>
      <c r="L93" s="29" t="str">
        <f t="shared" si="1"/>
        <v>-</v>
      </c>
    </row>
    <row r="94" spans="1:12" ht="31.5" x14ac:dyDescent="0.25">
      <c r="A94" s="70" t="s">
        <v>271</v>
      </c>
      <c r="B94" s="60" t="s">
        <v>170</v>
      </c>
      <c r="C94" s="61" t="s">
        <v>1</v>
      </c>
      <c r="D94" s="140" t="s">
        <v>540</v>
      </c>
      <c r="E94" s="140" t="s">
        <v>541</v>
      </c>
      <c r="F94" s="61" t="s">
        <v>592</v>
      </c>
      <c r="G94" s="61"/>
      <c r="H94" s="61"/>
      <c r="I94" s="141"/>
      <c r="J94" s="142"/>
      <c r="K94" s="218">
        <f>596746.74/1000</f>
        <v>596.74674000000005</v>
      </c>
      <c r="L94" s="29" t="str">
        <f t="shared" si="1"/>
        <v>-</v>
      </c>
    </row>
    <row r="95" spans="1:12" ht="31.5" x14ac:dyDescent="0.25">
      <c r="A95" s="139" t="s">
        <v>178</v>
      </c>
      <c r="B95" s="65" t="s">
        <v>170</v>
      </c>
      <c r="C95" s="61" t="s">
        <v>1</v>
      </c>
      <c r="D95" s="140" t="s">
        <v>540</v>
      </c>
      <c r="E95" s="140" t="s">
        <v>541</v>
      </c>
      <c r="F95" s="66" t="s">
        <v>593</v>
      </c>
      <c r="G95" s="66"/>
      <c r="H95" s="66"/>
      <c r="I95" s="144"/>
      <c r="J95" s="145"/>
      <c r="K95" s="224">
        <f>596746.74/1000</f>
        <v>596.74674000000005</v>
      </c>
      <c r="L95" s="31" t="str">
        <f t="shared" si="1"/>
        <v>-</v>
      </c>
    </row>
    <row r="96" spans="1:12" ht="47.25" x14ac:dyDescent="0.25">
      <c r="A96" s="70" t="s">
        <v>274</v>
      </c>
      <c r="B96" s="65" t="s">
        <v>170</v>
      </c>
      <c r="C96" s="61" t="s">
        <v>1</v>
      </c>
      <c r="D96" s="140" t="s">
        <v>540</v>
      </c>
      <c r="E96" s="140" t="s">
        <v>541</v>
      </c>
      <c r="F96" s="66" t="s">
        <v>594</v>
      </c>
      <c r="G96" s="66"/>
      <c r="H96" s="66"/>
      <c r="I96" s="144"/>
      <c r="J96" s="145"/>
      <c r="K96" s="224">
        <f>596746.74/1000</f>
        <v>596.74674000000005</v>
      </c>
      <c r="L96" s="31" t="str">
        <f t="shared" si="1"/>
        <v>-</v>
      </c>
    </row>
    <row r="97" spans="1:12" ht="31.5" x14ac:dyDescent="0.25">
      <c r="A97" s="70" t="s">
        <v>182</v>
      </c>
      <c r="B97" s="65" t="s">
        <v>170</v>
      </c>
      <c r="C97" s="61" t="s">
        <v>1</v>
      </c>
      <c r="D97" s="140" t="s">
        <v>540</v>
      </c>
      <c r="E97" s="140" t="s">
        <v>541</v>
      </c>
      <c r="F97" s="66" t="s">
        <v>595</v>
      </c>
      <c r="G97" s="66"/>
      <c r="H97" s="66"/>
      <c r="I97" s="144" t="s">
        <v>582</v>
      </c>
      <c r="J97" s="145"/>
      <c r="K97" s="224">
        <f>572196.74/1000</f>
        <v>572.19673999999998</v>
      </c>
      <c r="L97" s="31" t="str">
        <f t="shared" si="1"/>
        <v>-</v>
      </c>
    </row>
    <row r="98" spans="1:12" ht="31.5" hidden="1" x14ac:dyDescent="0.25">
      <c r="A98" s="59" t="s">
        <v>184</v>
      </c>
      <c r="B98" s="65" t="s">
        <v>170</v>
      </c>
      <c r="C98" s="66"/>
      <c r="D98" s="143"/>
      <c r="E98" s="143"/>
      <c r="F98" s="66"/>
      <c r="G98" s="66"/>
      <c r="H98" s="66"/>
      <c r="I98" s="144" t="s">
        <v>277</v>
      </c>
      <c r="J98" s="145"/>
      <c r="K98" s="224">
        <v>386926.99</v>
      </c>
      <c r="L98" s="31" t="str">
        <f t="shared" si="1"/>
        <v>-</v>
      </c>
    </row>
    <row r="99" spans="1:12" ht="63" hidden="1" x14ac:dyDescent="0.25">
      <c r="A99" s="64" t="s">
        <v>186</v>
      </c>
      <c r="B99" s="65" t="s">
        <v>170</v>
      </c>
      <c r="C99" s="66"/>
      <c r="D99" s="143"/>
      <c r="E99" s="143"/>
      <c r="F99" s="66"/>
      <c r="G99" s="66"/>
      <c r="H99" s="66"/>
      <c r="I99" s="144" t="s">
        <v>278</v>
      </c>
      <c r="J99" s="145"/>
      <c r="K99" s="224">
        <v>185269.75</v>
      </c>
      <c r="L99" s="31" t="str">
        <f t="shared" si="1"/>
        <v>-</v>
      </c>
    </row>
    <row r="100" spans="1:12" ht="48" thickBot="1" x14ac:dyDescent="0.3">
      <c r="A100" s="64" t="s">
        <v>196</v>
      </c>
      <c r="B100" s="65" t="s">
        <v>170</v>
      </c>
      <c r="C100" s="61" t="s">
        <v>1</v>
      </c>
      <c r="D100" s="140" t="s">
        <v>540</v>
      </c>
      <c r="E100" s="140" t="s">
        <v>541</v>
      </c>
      <c r="F100" s="66" t="s">
        <v>595</v>
      </c>
      <c r="G100" s="66"/>
      <c r="H100" s="66"/>
      <c r="I100" s="144" t="s">
        <v>571</v>
      </c>
      <c r="J100" s="145"/>
      <c r="K100" s="224">
        <f>24550/1000</f>
        <v>24.55</v>
      </c>
      <c r="L100" s="31" t="str">
        <f t="shared" si="1"/>
        <v>-</v>
      </c>
    </row>
    <row r="101" spans="1:12" ht="47.25" hidden="1" x14ac:dyDescent="0.25">
      <c r="A101" s="69" t="s">
        <v>200</v>
      </c>
      <c r="B101" s="71" t="s">
        <v>170</v>
      </c>
      <c r="C101" s="72"/>
      <c r="D101" s="146"/>
      <c r="E101" s="146"/>
      <c r="F101" s="72"/>
      <c r="G101" s="72"/>
      <c r="H101" s="72"/>
      <c r="I101" s="147" t="s">
        <v>280</v>
      </c>
      <c r="J101" s="148"/>
      <c r="K101" s="225">
        <v>24550</v>
      </c>
      <c r="L101" s="31" t="str">
        <f t="shared" si="1"/>
        <v>-</v>
      </c>
    </row>
    <row r="102" spans="1:12" ht="48" thickBot="1" x14ac:dyDescent="0.3">
      <c r="A102" s="114" t="s">
        <v>281</v>
      </c>
      <c r="B102" s="115" t="s">
        <v>170</v>
      </c>
      <c r="C102" s="116" t="s">
        <v>1</v>
      </c>
      <c r="D102" s="135" t="s">
        <v>541</v>
      </c>
      <c r="E102" s="135"/>
      <c r="F102" s="116"/>
      <c r="G102" s="116"/>
      <c r="H102" s="116"/>
      <c r="I102" s="119"/>
      <c r="J102" s="120"/>
      <c r="K102" s="230">
        <f>816713.11/1000</f>
        <v>816.71311000000003</v>
      </c>
      <c r="L102" s="29" t="str">
        <f t="shared" si="1"/>
        <v>-</v>
      </c>
    </row>
    <row r="103" spans="1:12" ht="63.75" thickBot="1" x14ac:dyDescent="0.3">
      <c r="A103" s="54" t="s">
        <v>282</v>
      </c>
      <c r="B103" s="151" t="s">
        <v>170</v>
      </c>
      <c r="C103" s="56" t="s">
        <v>1</v>
      </c>
      <c r="D103" s="136" t="s">
        <v>541</v>
      </c>
      <c r="E103" s="136" t="s">
        <v>546</v>
      </c>
      <c r="F103" s="56"/>
      <c r="G103" s="56"/>
      <c r="H103" s="56"/>
      <c r="I103" s="137"/>
      <c r="J103" s="138"/>
      <c r="K103" s="215">
        <f>543357.68/1000</f>
        <v>543.35768000000007</v>
      </c>
      <c r="L103" s="29" t="str">
        <f t="shared" si="1"/>
        <v>-</v>
      </c>
    </row>
    <row r="104" spans="1:12" ht="63" x14ac:dyDescent="0.25">
      <c r="A104" s="139" t="s">
        <v>282</v>
      </c>
      <c r="B104" s="130" t="s">
        <v>170</v>
      </c>
      <c r="C104" s="149" t="s">
        <v>1</v>
      </c>
      <c r="D104" s="150" t="s">
        <v>541</v>
      </c>
      <c r="E104" s="150" t="s">
        <v>546</v>
      </c>
      <c r="F104" s="149" t="s">
        <v>596</v>
      </c>
      <c r="G104" s="131"/>
      <c r="H104" s="131"/>
      <c r="I104" s="133"/>
      <c r="J104" s="134"/>
      <c r="K104" s="216">
        <f>543357.68/1000</f>
        <v>543.35768000000007</v>
      </c>
      <c r="L104" s="29" t="str">
        <f t="shared" si="1"/>
        <v>-</v>
      </c>
    </row>
    <row r="105" spans="1:12" ht="78.75" x14ac:dyDescent="0.25">
      <c r="A105" s="70" t="s">
        <v>284</v>
      </c>
      <c r="B105" s="66" t="s">
        <v>170</v>
      </c>
      <c r="C105" s="152" t="s">
        <v>1</v>
      </c>
      <c r="D105" s="143" t="s">
        <v>541</v>
      </c>
      <c r="E105" s="143" t="s">
        <v>546</v>
      </c>
      <c r="F105" s="66" t="s">
        <v>597</v>
      </c>
      <c r="G105" s="66"/>
      <c r="H105" s="66"/>
      <c r="I105" s="144"/>
      <c r="J105" s="145"/>
      <c r="K105" s="224">
        <f>199157.68/1000</f>
        <v>199.15768</v>
      </c>
      <c r="L105" s="31" t="str">
        <f t="shared" si="1"/>
        <v>-</v>
      </c>
    </row>
    <row r="106" spans="1:12" ht="63" x14ac:dyDescent="0.25">
      <c r="A106" s="139" t="s">
        <v>286</v>
      </c>
      <c r="B106" s="61" t="s">
        <v>170</v>
      </c>
      <c r="C106" s="153" t="s">
        <v>1</v>
      </c>
      <c r="D106" s="140" t="s">
        <v>541</v>
      </c>
      <c r="E106" s="140" t="s">
        <v>546</v>
      </c>
      <c r="F106" s="61" t="s">
        <v>598</v>
      </c>
      <c r="G106" s="61"/>
      <c r="H106" s="61"/>
      <c r="I106" s="141"/>
      <c r="J106" s="142"/>
      <c r="K106" s="218">
        <f>199157.68/1000</f>
        <v>199.15768</v>
      </c>
      <c r="L106" s="31" t="str">
        <f t="shared" si="1"/>
        <v>-</v>
      </c>
    </row>
    <row r="107" spans="1:12" ht="47.25" x14ac:dyDescent="0.25">
      <c r="A107" s="70" t="s">
        <v>196</v>
      </c>
      <c r="B107" s="66" t="s">
        <v>170</v>
      </c>
      <c r="C107" s="153" t="s">
        <v>1</v>
      </c>
      <c r="D107" s="140" t="s">
        <v>541</v>
      </c>
      <c r="E107" s="140" t="s">
        <v>546</v>
      </c>
      <c r="F107" s="66" t="s">
        <v>598</v>
      </c>
      <c r="G107" s="66"/>
      <c r="H107" s="66"/>
      <c r="I107" s="144" t="s">
        <v>571</v>
      </c>
      <c r="J107" s="145"/>
      <c r="K107" s="224">
        <f>199157.68/1000</f>
        <v>199.15768</v>
      </c>
      <c r="L107" s="31" t="str">
        <f t="shared" si="1"/>
        <v>-</v>
      </c>
    </row>
    <row r="108" spans="1:12" ht="47.25" hidden="1" x14ac:dyDescent="0.25">
      <c r="A108" s="59" t="s">
        <v>198</v>
      </c>
      <c r="B108" s="66" t="s">
        <v>170</v>
      </c>
      <c r="C108" s="152"/>
      <c r="D108" s="143"/>
      <c r="E108" s="143"/>
      <c r="F108" s="66"/>
      <c r="G108" s="66"/>
      <c r="H108" s="66"/>
      <c r="I108" s="144" t="s">
        <v>289</v>
      </c>
      <c r="J108" s="145"/>
      <c r="K108" s="224" t="s">
        <v>21</v>
      </c>
      <c r="L108" s="31" t="str">
        <f t="shared" si="1"/>
        <v>-</v>
      </c>
    </row>
    <row r="109" spans="1:12" ht="47.25" hidden="1" x14ac:dyDescent="0.25">
      <c r="A109" s="64" t="s">
        <v>200</v>
      </c>
      <c r="B109" s="66" t="s">
        <v>170</v>
      </c>
      <c r="C109" s="152"/>
      <c r="D109" s="143"/>
      <c r="E109" s="143"/>
      <c r="F109" s="66"/>
      <c r="G109" s="66"/>
      <c r="H109" s="66"/>
      <c r="I109" s="144" t="s">
        <v>290</v>
      </c>
      <c r="J109" s="145"/>
      <c r="K109" s="224">
        <v>199157.68</v>
      </c>
      <c r="L109" s="31" t="str">
        <f t="shared" si="1"/>
        <v>-</v>
      </c>
    </row>
    <row r="110" spans="1:12" ht="31.5" x14ac:dyDescent="0.25">
      <c r="A110" s="69" t="s">
        <v>291</v>
      </c>
      <c r="B110" s="66" t="s">
        <v>170</v>
      </c>
      <c r="C110" s="153" t="s">
        <v>1</v>
      </c>
      <c r="D110" s="140" t="s">
        <v>541</v>
      </c>
      <c r="E110" s="140" t="s">
        <v>546</v>
      </c>
      <c r="F110" s="66" t="s">
        <v>599</v>
      </c>
      <c r="G110" s="66"/>
      <c r="H110" s="66"/>
      <c r="I110" s="144"/>
      <c r="J110" s="145"/>
      <c r="K110" s="224">
        <f>51600/1000</f>
        <v>51.6</v>
      </c>
      <c r="L110" s="31" t="str">
        <f t="shared" si="1"/>
        <v>-</v>
      </c>
    </row>
    <row r="111" spans="1:12" ht="31.5" x14ac:dyDescent="0.25">
      <c r="A111" s="70" t="s">
        <v>293</v>
      </c>
      <c r="B111" s="66" t="s">
        <v>170</v>
      </c>
      <c r="C111" s="153" t="s">
        <v>1</v>
      </c>
      <c r="D111" s="140" t="s">
        <v>541</v>
      </c>
      <c r="E111" s="140" t="s">
        <v>546</v>
      </c>
      <c r="F111" s="66" t="s">
        <v>600</v>
      </c>
      <c r="G111" s="66"/>
      <c r="H111" s="66"/>
      <c r="I111" s="144"/>
      <c r="J111" s="145"/>
      <c r="K111" s="224">
        <f>51600/1000</f>
        <v>51.6</v>
      </c>
      <c r="L111" s="31" t="str">
        <f t="shared" si="1"/>
        <v>-</v>
      </c>
    </row>
    <row r="112" spans="1:12" ht="47.25" x14ac:dyDescent="0.25">
      <c r="A112" s="59" t="s">
        <v>196</v>
      </c>
      <c r="B112" s="66" t="s">
        <v>170</v>
      </c>
      <c r="C112" s="153" t="s">
        <v>1</v>
      </c>
      <c r="D112" s="140" t="s">
        <v>541</v>
      </c>
      <c r="E112" s="140" t="s">
        <v>546</v>
      </c>
      <c r="F112" s="66" t="s">
        <v>600</v>
      </c>
      <c r="G112" s="66"/>
      <c r="H112" s="66"/>
      <c r="I112" s="144" t="s">
        <v>571</v>
      </c>
      <c r="J112" s="145"/>
      <c r="K112" s="224">
        <f>51600/1000</f>
        <v>51.6</v>
      </c>
      <c r="L112" s="31" t="str">
        <f t="shared" si="1"/>
        <v>-</v>
      </c>
    </row>
    <row r="113" spans="1:12" ht="47.25" hidden="1" x14ac:dyDescent="0.25">
      <c r="A113" s="69" t="s">
        <v>200</v>
      </c>
      <c r="B113" s="66" t="s">
        <v>170</v>
      </c>
      <c r="C113" s="152"/>
      <c r="D113" s="143"/>
      <c r="E113" s="143"/>
      <c r="F113" s="66"/>
      <c r="G113" s="66"/>
      <c r="H113" s="66"/>
      <c r="I113" s="144" t="s">
        <v>296</v>
      </c>
      <c r="J113" s="145"/>
      <c r="K113" s="224">
        <v>51600</v>
      </c>
      <c r="L113" s="31" t="str">
        <f t="shared" si="1"/>
        <v>-</v>
      </c>
    </row>
    <row r="114" spans="1:12" ht="47.25" x14ac:dyDescent="0.25">
      <c r="A114" s="70" t="s">
        <v>297</v>
      </c>
      <c r="B114" s="66" t="s">
        <v>170</v>
      </c>
      <c r="C114" s="153" t="s">
        <v>1</v>
      </c>
      <c r="D114" s="140" t="s">
        <v>541</v>
      </c>
      <c r="E114" s="140" t="s">
        <v>546</v>
      </c>
      <c r="F114" s="66" t="s">
        <v>601</v>
      </c>
      <c r="G114" s="66"/>
      <c r="H114" s="66"/>
      <c r="I114" s="144"/>
      <c r="J114" s="145"/>
      <c r="K114" s="224">
        <f>292600/1000</f>
        <v>292.60000000000002</v>
      </c>
      <c r="L114" s="31" t="str">
        <f t="shared" si="1"/>
        <v>-</v>
      </c>
    </row>
    <row r="115" spans="1:12" ht="31.5" x14ac:dyDescent="0.25">
      <c r="A115" s="70" t="s">
        <v>299</v>
      </c>
      <c r="B115" s="66" t="s">
        <v>170</v>
      </c>
      <c r="C115" s="153" t="s">
        <v>1</v>
      </c>
      <c r="D115" s="140" t="s">
        <v>541</v>
      </c>
      <c r="E115" s="140" t="s">
        <v>546</v>
      </c>
      <c r="F115" s="66" t="s">
        <v>602</v>
      </c>
      <c r="G115" s="66"/>
      <c r="H115" s="66"/>
      <c r="I115" s="144"/>
      <c r="J115" s="145"/>
      <c r="K115" s="224">
        <f>292600/1000</f>
        <v>292.60000000000002</v>
      </c>
      <c r="L115" s="31" t="str">
        <f t="shared" si="1"/>
        <v>-</v>
      </c>
    </row>
    <row r="116" spans="1:12" ht="48" thickBot="1" x14ac:dyDescent="0.3">
      <c r="A116" s="59" t="s">
        <v>196</v>
      </c>
      <c r="B116" s="66" t="s">
        <v>170</v>
      </c>
      <c r="C116" s="154" t="s">
        <v>1</v>
      </c>
      <c r="D116" s="155" t="s">
        <v>541</v>
      </c>
      <c r="E116" s="155" t="s">
        <v>546</v>
      </c>
      <c r="F116" s="66" t="s">
        <v>602</v>
      </c>
      <c r="G116" s="66"/>
      <c r="H116" s="66"/>
      <c r="I116" s="144" t="s">
        <v>571</v>
      </c>
      <c r="J116" s="145"/>
      <c r="K116" s="224">
        <f>292600/1000</f>
        <v>292.60000000000002</v>
      </c>
      <c r="L116" s="31" t="str">
        <f t="shared" si="1"/>
        <v>-</v>
      </c>
    </row>
    <row r="117" spans="1:12" ht="47.25" hidden="1" x14ac:dyDescent="0.25">
      <c r="A117" s="69" t="s">
        <v>200</v>
      </c>
      <c r="B117" s="71" t="s">
        <v>170</v>
      </c>
      <c r="C117" s="149"/>
      <c r="D117" s="150"/>
      <c r="E117" s="150"/>
      <c r="F117" s="72"/>
      <c r="G117" s="72"/>
      <c r="H117" s="72"/>
      <c r="I117" s="147" t="s">
        <v>302</v>
      </c>
      <c r="J117" s="148"/>
      <c r="K117" s="225">
        <v>292600</v>
      </c>
      <c r="L117" s="31" t="str">
        <f t="shared" si="1"/>
        <v>-</v>
      </c>
    </row>
    <row r="118" spans="1:12" ht="48" thickBot="1" x14ac:dyDescent="0.3">
      <c r="A118" s="54" t="s">
        <v>303</v>
      </c>
      <c r="B118" s="55" t="s">
        <v>170</v>
      </c>
      <c r="C118" s="56" t="s">
        <v>1</v>
      </c>
      <c r="D118" s="136" t="s">
        <v>541</v>
      </c>
      <c r="E118" s="136" t="s">
        <v>547</v>
      </c>
      <c r="F118" s="56"/>
      <c r="G118" s="56"/>
      <c r="H118" s="56"/>
      <c r="I118" s="137"/>
      <c r="J118" s="138"/>
      <c r="K118" s="215">
        <f>273355.43/1000</f>
        <v>273.35543000000001</v>
      </c>
      <c r="L118" s="29" t="str">
        <f t="shared" si="1"/>
        <v>-</v>
      </c>
    </row>
    <row r="119" spans="1:12" ht="47.25" x14ac:dyDescent="0.25">
      <c r="A119" s="139" t="s">
        <v>303</v>
      </c>
      <c r="B119" s="81" t="s">
        <v>170</v>
      </c>
      <c r="C119" s="61" t="s">
        <v>1</v>
      </c>
      <c r="D119" s="140" t="s">
        <v>541</v>
      </c>
      <c r="E119" s="140" t="s">
        <v>547</v>
      </c>
      <c r="F119" s="61" t="s">
        <v>565</v>
      </c>
      <c r="G119" s="82"/>
      <c r="H119" s="82"/>
      <c r="I119" s="127"/>
      <c r="J119" s="128"/>
      <c r="K119" s="218">
        <f>273355.43/1000</f>
        <v>273.35543000000001</v>
      </c>
      <c r="L119" s="29" t="str">
        <f t="shared" si="1"/>
        <v>-</v>
      </c>
    </row>
    <row r="120" spans="1:12" ht="31.5" x14ac:dyDescent="0.25">
      <c r="A120" s="70" t="s">
        <v>178</v>
      </c>
      <c r="B120" s="65" t="s">
        <v>170</v>
      </c>
      <c r="C120" s="61" t="s">
        <v>1</v>
      </c>
      <c r="D120" s="140" t="s">
        <v>541</v>
      </c>
      <c r="E120" s="140" t="s">
        <v>547</v>
      </c>
      <c r="F120" s="66" t="s">
        <v>569</v>
      </c>
      <c r="G120" s="66"/>
      <c r="H120" s="66"/>
      <c r="I120" s="144"/>
      <c r="J120" s="145"/>
      <c r="K120" s="224">
        <f>273355.43/1000</f>
        <v>273.35543000000001</v>
      </c>
      <c r="L120" s="31" t="str">
        <f t="shared" si="1"/>
        <v>-</v>
      </c>
    </row>
    <row r="121" spans="1:12" ht="94.5" x14ac:dyDescent="0.25">
      <c r="A121" s="139" t="s">
        <v>306</v>
      </c>
      <c r="B121" s="65" t="s">
        <v>170</v>
      </c>
      <c r="C121" s="61" t="s">
        <v>1</v>
      </c>
      <c r="D121" s="140" t="s">
        <v>541</v>
      </c>
      <c r="E121" s="140" t="s">
        <v>547</v>
      </c>
      <c r="F121" s="66" t="s">
        <v>603</v>
      </c>
      <c r="G121" s="66"/>
      <c r="H121" s="66"/>
      <c r="I121" s="144"/>
      <c r="J121" s="145"/>
      <c r="K121" s="224">
        <f>273355.43/1000</f>
        <v>273.35543000000001</v>
      </c>
      <c r="L121" s="31" t="str">
        <f t="shared" si="1"/>
        <v>-</v>
      </c>
    </row>
    <row r="122" spans="1:12" ht="32.25" thickBot="1" x14ac:dyDescent="0.3">
      <c r="A122" s="70" t="s">
        <v>182</v>
      </c>
      <c r="B122" s="65" t="s">
        <v>170</v>
      </c>
      <c r="C122" s="61" t="s">
        <v>1</v>
      </c>
      <c r="D122" s="140" t="s">
        <v>541</v>
      </c>
      <c r="E122" s="140" t="s">
        <v>547</v>
      </c>
      <c r="F122" s="66" t="s">
        <v>603</v>
      </c>
      <c r="G122" s="66"/>
      <c r="H122" s="66"/>
      <c r="I122" s="144" t="s">
        <v>582</v>
      </c>
      <c r="J122" s="145"/>
      <c r="K122" s="224">
        <f>273355.43/1000</f>
        <v>273.35543000000001</v>
      </c>
      <c r="L122" s="31" t="str">
        <f t="shared" si="1"/>
        <v>-</v>
      </c>
    </row>
    <row r="123" spans="1:12" ht="31.5" hidden="1" x14ac:dyDescent="0.25">
      <c r="A123" s="59" t="s">
        <v>184</v>
      </c>
      <c r="B123" s="65" t="s">
        <v>170</v>
      </c>
      <c r="C123" s="66"/>
      <c r="D123" s="143"/>
      <c r="E123" s="143"/>
      <c r="F123" s="66"/>
      <c r="G123" s="66"/>
      <c r="H123" s="66"/>
      <c r="I123" s="144" t="s">
        <v>309</v>
      </c>
      <c r="J123" s="145"/>
      <c r="K123" s="224">
        <v>211510.84</v>
      </c>
      <c r="L123" s="31" t="str">
        <f t="shared" si="1"/>
        <v>-</v>
      </c>
    </row>
    <row r="124" spans="1:12" ht="63" hidden="1" x14ac:dyDescent="0.25">
      <c r="A124" s="64" t="s">
        <v>186</v>
      </c>
      <c r="B124" s="65" t="s">
        <v>170</v>
      </c>
      <c r="C124" s="66"/>
      <c r="D124" s="143"/>
      <c r="E124" s="143"/>
      <c r="F124" s="66"/>
      <c r="G124" s="66"/>
      <c r="H124" s="66"/>
      <c r="I124" s="144" t="s">
        <v>310</v>
      </c>
      <c r="J124" s="145"/>
      <c r="K124" s="224">
        <v>61844.59</v>
      </c>
      <c r="L124" s="31" t="str">
        <f t="shared" si="1"/>
        <v>-</v>
      </c>
    </row>
    <row r="125" spans="1:12" ht="48" hidden="1" thickBot="1" x14ac:dyDescent="0.3">
      <c r="A125" s="64" t="s">
        <v>196</v>
      </c>
      <c r="B125" s="65" t="s">
        <v>170</v>
      </c>
      <c r="C125" s="61" t="s">
        <v>1</v>
      </c>
      <c r="D125" s="140" t="s">
        <v>541</v>
      </c>
      <c r="E125" s="140" t="s">
        <v>547</v>
      </c>
      <c r="F125" s="66" t="s">
        <v>603</v>
      </c>
      <c r="G125" s="66"/>
      <c r="H125" s="66"/>
      <c r="I125" s="144" t="s">
        <v>571</v>
      </c>
      <c r="J125" s="145"/>
      <c r="K125" s="224" t="s">
        <v>21</v>
      </c>
      <c r="L125" s="31" t="str">
        <f t="shared" si="1"/>
        <v>-</v>
      </c>
    </row>
    <row r="126" spans="1:12" ht="47.25" hidden="1" x14ac:dyDescent="0.25">
      <c r="A126" s="64" t="s">
        <v>198</v>
      </c>
      <c r="B126" s="65" t="s">
        <v>170</v>
      </c>
      <c r="C126" s="66"/>
      <c r="D126" s="143"/>
      <c r="E126" s="143"/>
      <c r="F126" s="66"/>
      <c r="G126" s="66"/>
      <c r="H126" s="66"/>
      <c r="I126" s="144" t="s">
        <v>312</v>
      </c>
      <c r="J126" s="145"/>
      <c r="K126" s="224" t="s">
        <v>21</v>
      </c>
      <c r="L126" s="31" t="str">
        <f t="shared" si="1"/>
        <v>-</v>
      </c>
    </row>
    <row r="127" spans="1:12" ht="47.25" hidden="1" x14ac:dyDescent="0.25">
      <c r="A127" s="69" t="s">
        <v>200</v>
      </c>
      <c r="B127" s="71" t="s">
        <v>170</v>
      </c>
      <c r="C127" s="72"/>
      <c r="D127" s="146"/>
      <c r="E127" s="146"/>
      <c r="F127" s="72"/>
      <c r="G127" s="72"/>
      <c r="H127" s="72"/>
      <c r="I127" s="147" t="s">
        <v>313</v>
      </c>
      <c r="J127" s="148"/>
      <c r="K127" s="225" t="s">
        <v>21</v>
      </c>
      <c r="L127" s="31" t="str">
        <f t="shared" si="1"/>
        <v>-</v>
      </c>
    </row>
    <row r="128" spans="1:12" ht="32.25" thickBot="1" x14ac:dyDescent="0.3">
      <c r="A128" s="114" t="s">
        <v>314</v>
      </c>
      <c r="B128" s="115" t="s">
        <v>170</v>
      </c>
      <c r="C128" s="116" t="s">
        <v>1</v>
      </c>
      <c r="D128" s="135" t="s">
        <v>542</v>
      </c>
      <c r="E128" s="135"/>
      <c r="F128" s="116"/>
      <c r="G128" s="116"/>
      <c r="H128" s="116"/>
      <c r="I128" s="119"/>
      <c r="J128" s="120"/>
      <c r="K128" s="230">
        <f>14568450.55/1000</f>
        <v>14568.450550000001</v>
      </c>
      <c r="L128" s="29" t="str">
        <f t="shared" si="1"/>
        <v>-</v>
      </c>
    </row>
    <row r="129" spans="1:12" ht="32.25" thickBot="1" x14ac:dyDescent="0.3">
      <c r="A129" s="54" t="s">
        <v>315</v>
      </c>
      <c r="B129" s="55" t="s">
        <v>170</v>
      </c>
      <c r="C129" s="56" t="s">
        <v>1</v>
      </c>
      <c r="D129" s="136" t="s">
        <v>542</v>
      </c>
      <c r="E129" s="136" t="s">
        <v>546</v>
      </c>
      <c r="F129" s="56"/>
      <c r="G129" s="56"/>
      <c r="H129" s="56"/>
      <c r="I129" s="137"/>
      <c r="J129" s="138"/>
      <c r="K129" s="215">
        <f>11203147.93/1000</f>
        <v>11203.147929999999</v>
      </c>
      <c r="L129" s="29" t="str">
        <f t="shared" si="1"/>
        <v>-</v>
      </c>
    </row>
    <row r="130" spans="1:12" ht="31.5" x14ac:dyDescent="0.25">
      <c r="A130" s="139" t="s">
        <v>315</v>
      </c>
      <c r="B130" s="60" t="s">
        <v>170</v>
      </c>
      <c r="C130" s="61" t="s">
        <v>1</v>
      </c>
      <c r="D130" s="140" t="s">
        <v>542</v>
      </c>
      <c r="E130" s="140" t="s">
        <v>546</v>
      </c>
      <c r="F130" s="61" t="s">
        <v>604</v>
      </c>
      <c r="G130" s="61"/>
      <c r="H130" s="61"/>
      <c r="I130" s="141"/>
      <c r="J130" s="142"/>
      <c r="K130" s="218">
        <f>11203147.93/1000</f>
        <v>11203.147929999999</v>
      </c>
      <c r="L130" s="29" t="str">
        <f t="shared" si="1"/>
        <v>-</v>
      </c>
    </row>
    <row r="131" spans="1:12" ht="110.25" x14ac:dyDescent="0.25">
      <c r="A131" s="70" t="s">
        <v>317</v>
      </c>
      <c r="B131" s="65" t="s">
        <v>170</v>
      </c>
      <c r="C131" s="61" t="s">
        <v>1</v>
      </c>
      <c r="D131" s="140" t="s">
        <v>542</v>
      </c>
      <c r="E131" s="140" t="s">
        <v>546</v>
      </c>
      <c r="F131" s="66" t="s">
        <v>605</v>
      </c>
      <c r="G131" s="66"/>
      <c r="H131" s="66"/>
      <c r="I131" s="144"/>
      <c r="J131" s="145"/>
      <c r="K131" s="224">
        <f>4022001.2/1000</f>
        <v>4022.0012000000002</v>
      </c>
      <c r="L131" s="31" t="str">
        <f t="shared" si="1"/>
        <v>-</v>
      </c>
    </row>
    <row r="132" spans="1:12" ht="31.5" x14ac:dyDescent="0.25">
      <c r="A132" s="70" t="s">
        <v>319</v>
      </c>
      <c r="B132" s="65" t="s">
        <v>170</v>
      </c>
      <c r="C132" s="61" t="s">
        <v>1</v>
      </c>
      <c r="D132" s="140" t="s">
        <v>542</v>
      </c>
      <c r="E132" s="140" t="s">
        <v>546</v>
      </c>
      <c r="F132" s="66" t="s">
        <v>606</v>
      </c>
      <c r="G132" s="66"/>
      <c r="H132" s="66"/>
      <c r="I132" s="144"/>
      <c r="J132" s="145"/>
      <c r="K132" s="224">
        <f>3700382.2/1000</f>
        <v>3700.3822</v>
      </c>
      <c r="L132" s="31" t="str">
        <f t="shared" si="1"/>
        <v>-</v>
      </c>
    </row>
    <row r="133" spans="1:12" ht="47.25" x14ac:dyDescent="0.25">
      <c r="A133" s="59" t="s">
        <v>196</v>
      </c>
      <c r="B133" s="65" t="s">
        <v>170</v>
      </c>
      <c r="C133" s="61" t="s">
        <v>1</v>
      </c>
      <c r="D133" s="140" t="s">
        <v>542</v>
      </c>
      <c r="E133" s="140" t="s">
        <v>546</v>
      </c>
      <c r="F133" s="66" t="s">
        <v>606</v>
      </c>
      <c r="G133" s="66"/>
      <c r="H133" s="66"/>
      <c r="I133" s="144" t="s">
        <v>571</v>
      </c>
      <c r="J133" s="145"/>
      <c r="K133" s="224">
        <f>3700382.2/1000</f>
        <v>3700.3822</v>
      </c>
      <c r="L133" s="31" t="str">
        <f t="shared" si="1"/>
        <v>-</v>
      </c>
    </row>
    <row r="134" spans="1:12" ht="47.25" hidden="1" x14ac:dyDescent="0.25">
      <c r="A134" s="69" t="s">
        <v>200</v>
      </c>
      <c r="B134" s="65" t="s">
        <v>170</v>
      </c>
      <c r="C134" s="66"/>
      <c r="D134" s="143"/>
      <c r="E134" s="143"/>
      <c r="F134" s="66"/>
      <c r="G134" s="66"/>
      <c r="H134" s="66"/>
      <c r="I134" s="144" t="s">
        <v>322</v>
      </c>
      <c r="J134" s="145"/>
      <c r="K134" s="224">
        <v>3700382.2</v>
      </c>
      <c r="L134" s="31" t="str">
        <f t="shared" si="1"/>
        <v>-</v>
      </c>
    </row>
    <row r="135" spans="1:12" ht="47.25" x14ac:dyDescent="0.25">
      <c r="A135" s="70" t="s">
        <v>323</v>
      </c>
      <c r="B135" s="65" t="s">
        <v>170</v>
      </c>
      <c r="C135" s="61" t="s">
        <v>1</v>
      </c>
      <c r="D135" s="140" t="s">
        <v>542</v>
      </c>
      <c r="E135" s="140" t="s">
        <v>546</v>
      </c>
      <c r="F135" s="66" t="s">
        <v>607</v>
      </c>
      <c r="G135" s="66"/>
      <c r="H135" s="66"/>
      <c r="I135" s="144"/>
      <c r="J135" s="145"/>
      <c r="K135" s="224">
        <f>321619/1000</f>
        <v>321.61900000000003</v>
      </c>
      <c r="L135" s="31" t="str">
        <f t="shared" si="1"/>
        <v>-</v>
      </c>
    </row>
    <row r="136" spans="1:12" ht="47.25" x14ac:dyDescent="0.25">
      <c r="A136" s="59" t="s">
        <v>196</v>
      </c>
      <c r="B136" s="65" t="s">
        <v>170</v>
      </c>
      <c r="C136" s="61" t="s">
        <v>1</v>
      </c>
      <c r="D136" s="140" t="s">
        <v>542</v>
      </c>
      <c r="E136" s="140" t="s">
        <v>546</v>
      </c>
      <c r="F136" s="66" t="s">
        <v>608</v>
      </c>
      <c r="G136" s="66"/>
      <c r="H136" s="66"/>
      <c r="I136" s="144" t="s">
        <v>571</v>
      </c>
      <c r="J136" s="145"/>
      <c r="K136" s="224">
        <f>321619/1000</f>
        <v>321.61900000000003</v>
      </c>
      <c r="L136" s="31" t="str">
        <f t="shared" si="1"/>
        <v>-</v>
      </c>
    </row>
    <row r="137" spans="1:12" ht="47.25" hidden="1" x14ac:dyDescent="0.25">
      <c r="A137" s="69" t="s">
        <v>200</v>
      </c>
      <c r="B137" s="65" t="s">
        <v>170</v>
      </c>
      <c r="C137" s="66"/>
      <c r="D137" s="143"/>
      <c r="E137" s="143"/>
      <c r="F137" s="66"/>
      <c r="G137" s="66"/>
      <c r="H137" s="66"/>
      <c r="I137" s="144" t="s">
        <v>326</v>
      </c>
      <c r="J137" s="145"/>
      <c r="K137" s="224">
        <v>321619</v>
      </c>
      <c r="L137" s="31" t="str">
        <f t="shared" si="1"/>
        <v>-</v>
      </c>
    </row>
    <row r="138" spans="1:12" ht="47.25" x14ac:dyDescent="0.25">
      <c r="A138" s="70" t="s">
        <v>327</v>
      </c>
      <c r="B138" s="65" t="s">
        <v>170</v>
      </c>
      <c r="C138" s="61" t="s">
        <v>1</v>
      </c>
      <c r="D138" s="140" t="s">
        <v>542</v>
      </c>
      <c r="E138" s="140" t="s">
        <v>546</v>
      </c>
      <c r="F138" s="66" t="s">
        <v>609</v>
      </c>
      <c r="G138" s="66"/>
      <c r="H138" s="66"/>
      <c r="I138" s="144"/>
      <c r="J138" s="145"/>
      <c r="K138" s="224">
        <f>7181146.73/1000</f>
        <v>7181.1467300000004</v>
      </c>
      <c r="L138" s="31" t="str">
        <f t="shared" si="1"/>
        <v>-</v>
      </c>
    </row>
    <row r="139" spans="1:12" ht="31.5" x14ac:dyDescent="0.25">
      <c r="A139" s="139" t="s">
        <v>319</v>
      </c>
      <c r="B139" s="65" t="s">
        <v>170</v>
      </c>
      <c r="C139" s="61" t="s">
        <v>1</v>
      </c>
      <c r="D139" s="140" t="s">
        <v>542</v>
      </c>
      <c r="E139" s="140" t="s">
        <v>546</v>
      </c>
      <c r="F139" s="66" t="s">
        <v>610</v>
      </c>
      <c r="G139" s="66"/>
      <c r="H139" s="66"/>
      <c r="I139" s="144"/>
      <c r="J139" s="145"/>
      <c r="K139" s="224">
        <f>6883568/1000</f>
        <v>6883.5680000000002</v>
      </c>
      <c r="L139" s="31" t="str">
        <f t="shared" si="1"/>
        <v>-</v>
      </c>
    </row>
    <row r="140" spans="1:12" ht="47.25" x14ac:dyDescent="0.25">
      <c r="A140" s="70" t="s">
        <v>196</v>
      </c>
      <c r="B140" s="65" t="s">
        <v>170</v>
      </c>
      <c r="C140" s="61" t="s">
        <v>1</v>
      </c>
      <c r="D140" s="140" t="s">
        <v>542</v>
      </c>
      <c r="E140" s="140" t="s">
        <v>546</v>
      </c>
      <c r="F140" s="66" t="s">
        <v>610</v>
      </c>
      <c r="G140" s="66"/>
      <c r="H140" s="66"/>
      <c r="I140" s="144" t="s">
        <v>571</v>
      </c>
      <c r="J140" s="145"/>
      <c r="K140" s="224">
        <f>6883568/1000</f>
        <v>6883.5680000000002</v>
      </c>
      <c r="L140" s="31" t="str">
        <f t="shared" si="1"/>
        <v>-</v>
      </c>
    </row>
    <row r="141" spans="1:12" ht="47.25" hidden="1" x14ac:dyDescent="0.25">
      <c r="A141" s="139" t="s">
        <v>200</v>
      </c>
      <c r="B141" s="65" t="s">
        <v>170</v>
      </c>
      <c r="C141" s="66"/>
      <c r="D141" s="143"/>
      <c r="E141" s="143"/>
      <c r="F141" s="66"/>
      <c r="G141" s="66"/>
      <c r="H141" s="66"/>
      <c r="I141" s="144" t="s">
        <v>331</v>
      </c>
      <c r="J141" s="145"/>
      <c r="K141" s="224">
        <v>6883568</v>
      </c>
      <c r="L141" s="31" t="str">
        <f t="shared" si="1"/>
        <v>-</v>
      </c>
    </row>
    <row r="142" spans="1:12" ht="47.25" x14ac:dyDescent="0.25">
      <c r="A142" s="70" t="s">
        <v>332</v>
      </c>
      <c r="B142" s="65" t="s">
        <v>170</v>
      </c>
      <c r="C142" s="61" t="s">
        <v>1</v>
      </c>
      <c r="D142" s="140" t="s">
        <v>542</v>
      </c>
      <c r="E142" s="140" t="s">
        <v>546</v>
      </c>
      <c r="F142" s="66" t="s">
        <v>611</v>
      </c>
      <c r="G142" s="66"/>
      <c r="H142" s="66"/>
      <c r="I142" s="144"/>
      <c r="J142" s="145"/>
      <c r="K142" s="224">
        <f>297578.73/1000</f>
        <v>297.57873000000001</v>
      </c>
      <c r="L142" s="31" t="str">
        <f t="shared" si="1"/>
        <v>-</v>
      </c>
    </row>
    <row r="143" spans="1:12" ht="48" thickBot="1" x14ac:dyDescent="0.3">
      <c r="A143" s="59" t="s">
        <v>196</v>
      </c>
      <c r="B143" s="65" t="s">
        <v>170</v>
      </c>
      <c r="C143" s="61" t="s">
        <v>1</v>
      </c>
      <c r="D143" s="140" t="s">
        <v>542</v>
      </c>
      <c r="E143" s="140" t="s">
        <v>546</v>
      </c>
      <c r="F143" s="66" t="s">
        <v>611</v>
      </c>
      <c r="G143" s="66"/>
      <c r="H143" s="66"/>
      <c r="I143" s="144" t="s">
        <v>571</v>
      </c>
      <c r="J143" s="145"/>
      <c r="K143" s="224">
        <f>297578.73/1000</f>
        <v>297.57873000000001</v>
      </c>
      <c r="L143" s="31" t="str">
        <f t="shared" si="1"/>
        <v>-</v>
      </c>
    </row>
    <row r="144" spans="1:12" ht="47.25" hidden="1" x14ac:dyDescent="0.25">
      <c r="A144" s="69" t="s">
        <v>200</v>
      </c>
      <c r="B144" s="71" t="s">
        <v>170</v>
      </c>
      <c r="C144" s="72"/>
      <c r="D144" s="146"/>
      <c r="E144" s="146"/>
      <c r="F144" s="72"/>
      <c r="G144" s="72"/>
      <c r="H144" s="72"/>
      <c r="I144" s="147" t="s">
        <v>335</v>
      </c>
      <c r="J144" s="148"/>
      <c r="K144" s="225">
        <v>297578.73</v>
      </c>
      <c r="L144" s="31" t="str">
        <f t="shared" si="1"/>
        <v>-</v>
      </c>
    </row>
    <row r="145" spans="1:12" ht="32.25" thickBot="1" x14ac:dyDescent="0.3">
      <c r="A145" s="54" t="s">
        <v>336</v>
      </c>
      <c r="B145" s="55" t="s">
        <v>170</v>
      </c>
      <c r="C145" s="56" t="s">
        <v>1</v>
      </c>
      <c r="D145" s="136" t="s">
        <v>542</v>
      </c>
      <c r="E145" s="136" t="s">
        <v>548</v>
      </c>
      <c r="F145" s="56"/>
      <c r="G145" s="56"/>
      <c r="H145" s="56"/>
      <c r="I145" s="137"/>
      <c r="J145" s="138"/>
      <c r="K145" s="215">
        <f>3365302.62/1000</f>
        <v>3365.3026199999999</v>
      </c>
      <c r="L145" s="29" t="str">
        <f t="shared" si="1"/>
        <v>-</v>
      </c>
    </row>
    <row r="146" spans="1:12" ht="31.5" x14ac:dyDescent="0.25">
      <c r="A146" s="139" t="s">
        <v>336</v>
      </c>
      <c r="B146" s="60" t="s">
        <v>170</v>
      </c>
      <c r="C146" s="61" t="s">
        <v>1</v>
      </c>
      <c r="D146" s="140" t="s">
        <v>542</v>
      </c>
      <c r="E146" s="140" t="s">
        <v>548</v>
      </c>
      <c r="F146" s="61" t="s">
        <v>613</v>
      </c>
      <c r="G146" s="61"/>
      <c r="H146" s="61"/>
      <c r="I146" s="141"/>
      <c r="J146" s="142"/>
      <c r="K146" s="218">
        <f>117331.62/1000</f>
        <v>117.33162</v>
      </c>
      <c r="L146" s="29" t="str">
        <f t="shared" si="1"/>
        <v>-</v>
      </c>
    </row>
    <row r="147" spans="1:12" ht="78.75" x14ac:dyDescent="0.25">
      <c r="A147" s="70" t="s">
        <v>338</v>
      </c>
      <c r="B147" s="65" t="s">
        <v>170</v>
      </c>
      <c r="C147" s="61" t="s">
        <v>1</v>
      </c>
      <c r="D147" s="140" t="s">
        <v>542</v>
      </c>
      <c r="E147" s="140" t="s">
        <v>548</v>
      </c>
      <c r="F147" s="66" t="s">
        <v>614</v>
      </c>
      <c r="G147" s="66"/>
      <c r="H147" s="66"/>
      <c r="I147" s="144"/>
      <c r="J147" s="145"/>
      <c r="K147" s="224">
        <f>117331.62/1000</f>
        <v>117.33162</v>
      </c>
      <c r="L147" s="31" t="str">
        <f t="shared" si="1"/>
        <v>-</v>
      </c>
    </row>
    <row r="148" spans="1:12" ht="63" x14ac:dyDescent="0.25">
      <c r="A148" s="139" t="s">
        <v>340</v>
      </c>
      <c r="B148" s="65" t="s">
        <v>170</v>
      </c>
      <c r="C148" s="61" t="s">
        <v>1</v>
      </c>
      <c r="D148" s="140" t="s">
        <v>542</v>
      </c>
      <c r="E148" s="140" t="s">
        <v>548</v>
      </c>
      <c r="F148" s="66" t="s">
        <v>615</v>
      </c>
      <c r="G148" s="66"/>
      <c r="H148" s="66"/>
      <c r="I148" s="144"/>
      <c r="J148" s="145"/>
      <c r="K148" s="224">
        <f>117331.62/1000</f>
        <v>117.33162</v>
      </c>
      <c r="L148" s="31" t="str">
        <f t="shared" ref="L148:L211" si="2">IF(OR(J148="-",IF(K148="-",0,K148)&gt;=IF(J148="-",0,J148)),"-",IF(J148="-",0,J148)-IF(K148="-",0,K148))</f>
        <v>-</v>
      </c>
    </row>
    <row r="149" spans="1:12" ht="47.25" x14ac:dyDescent="0.25">
      <c r="A149" s="70" t="s">
        <v>196</v>
      </c>
      <c r="B149" s="65" t="s">
        <v>170</v>
      </c>
      <c r="C149" s="61" t="s">
        <v>1</v>
      </c>
      <c r="D149" s="140" t="s">
        <v>542</v>
      </c>
      <c r="E149" s="140" t="s">
        <v>548</v>
      </c>
      <c r="F149" s="66" t="s">
        <v>615</v>
      </c>
      <c r="G149" s="66"/>
      <c r="H149" s="66"/>
      <c r="I149" s="144" t="s">
        <v>571</v>
      </c>
      <c r="J149" s="145"/>
      <c r="K149" s="224">
        <f>117331.62/1000</f>
        <v>117.33162</v>
      </c>
      <c r="L149" s="31" t="str">
        <f t="shared" si="2"/>
        <v>-</v>
      </c>
    </row>
    <row r="150" spans="1:12" ht="47.25" hidden="1" x14ac:dyDescent="0.25">
      <c r="A150" s="59" t="s">
        <v>198</v>
      </c>
      <c r="B150" s="65" t="s">
        <v>170</v>
      </c>
      <c r="C150" s="66"/>
      <c r="D150" s="143"/>
      <c r="E150" s="143"/>
      <c r="F150" s="66"/>
      <c r="G150" s="66"/>
      <c r="H150" s="66"/>
      <c r="I150" s="144" t="s">
        <v>343</v>
      </c>
      <c r="J150" s="145"/>
      <c r="K150" s="224">
        <v>117331.62</v>
      </c>
      <c r="L150" s="31" t="str">
        <f t="shared" si="2"/>
        <v>-</v>
      </c>
    </row>
    <row r="151" spans="1:12" ht="47.25" hidden="1" x14ac:dyDescent="0.25">
      <c r="A151" s="69" t="s">
        <v>200</v>
      </c>
      <c r="B151" s="65" t="s">
        <v>170</v>
      </c>
      <c r="C151" s="66"/>
      <c r="D151" s="143"/>
      <c r="E151" s="143"/>
      <c r="F151" s="66"/>
      <c r="G151" s="66"/>
      <c r="H151" s="66"/>
      <c r="I151" s="144" t="s">
        <v>344</v>
      </c>
      <c r="J151" s="145"/>
      <c r="K151" s="224" t="s">
        <v>21</v>
      </c>
      <c r="L151" s="31" t="str">
        <f t="shared" si="2"/>
        <v>-</v>
      </c>
    </row>
    <row r="152" spans="1:12" ht="31.5" x14ac:dyDescent="0.25">
      <c r="A152" s="70" t="s">
        <v>336</v>
      </c>
      <c r="B152" s="81" t="s">
        <v>170</v>
      </c>
      <c r="C152" s="61" t="s">
        <v>1</v>
      </c>
      <c r="D152" s="140" t="s">
        <v>542</v>
      </c>
      <c r="E152" s="140" t="s">
        <v>548</v>
      </c>
      <c r="F152" s="61" t="s">
        <v>592</v>
      </c>
      <c r="G152" s="61"/>
      <c r="H152" s="61"/>
      <c r="I152" s="141"/>
      <c r="J152" s="142"/>
      <c r="K152" s="218">
        <f>3247971/1000</f>
        <v>3247.971</v>
      </c>
      <c r="L152" s="29" t="str">
        <f t="shared" si="2"/>
        <v>-</v>
      </c>
    </row>
    <row r="153" spans="1:12" ht="31.5" x14ac:dyDescent="0.25">
      <c r="A153" s="139" t="s">
        <v>178</v>
      </c>
      <c r="B153" s="65" t="s">
        <v>170</v>
      </c>
      <c r="C153" s="61" t="s">
        <v>1</v>
      </c>
      <c r="D153" s="140" t="s">
        <v>542</v>
      </c>
      <c r="E153" s="140" t="s">
        <v>548</v>
      </c>
      <c r="F153" s="66" t="s">
        <v>593</v>
      </c>
      <c r="G153" s="66"/>
      <c r="H153" s="66"/>
      <c r="I153" s="144"/>
      <c r="J153" s="145"/>
      <c r="K153" s="224">
        <f>3247971/1000</f>
        <v>3247.971</v>
      </c>
      <c r="L153" s="31" t="str">
        <f t="shared" si="2"/>
        <v>-</v>
      </c>
    </row>
    <row r="154" spans="1:12" ht="31.5" x14ac:dyDescent="0.25">
      <c r="A154" s="70" t="s">
        <v>347</v>
      </c>
      <c r="B154" s="65" t="s">
        <v>170</v>
      </c>
      <c r="C154" s="61" t="s">
        <v>1</v>
      </c>
      <c r="D154" s="140" t="s">
        <v>542</v>
      </c>
      <c r="E154" s="140" t="s">
        <v>548</v>
      </c>
      <c r="F154" s="66" t="s">
        <v>616</v>
      </c>
      <c r="G154" s="66"/>
      <c r="H154" s="66"/>
      <c r="I154" s="144"/>
      <c r="J154" s="145"/>
      <c r="K154" s="224">
        <f>27251/1000</f>
        <v>27.251000000000001</v>
      </c>
      <c r="L154" s="31" t="str">
        <f t="shared" si="2"/>
        <v>-</v>
      </c>
    </row>
    <row r="155" spans="1:12" ht="47.25" x14ac:dyDescent="0.25">
      <c r="A155" s="59" t="s">
        <v>196</v>
      </c>
      <c r="B155" s="65" t="s">
        <v>170</v>
      </c>
      <c r="C155" s="61" t="s">
        <v>1</v>
      </c>
      <c r="D155" s="140" t="s">
        <v>542</v>
      </c>
      <c r="E155" s="140" t="s">
        <v>548</v>
      </c>
      <c r="F155" s="66" t="s">
        <v>616</v>
      </c>
      <c r="G155" s="66"/>
      <c r="H155" s="66"/>
      <c r="I155" s="144" t="s">
        <v>571</v>
      </c>
      <c r="J155" s="145"/>
      <c r="K155" s="224">
        <f>27251/1000</f>
        <v>27.251000000000001</v>
      </c>
      <c r="L155" s="31" t="str">
        <f t="shared" si="2"/>
        <v>-</v>
      </c>
    </row>
    <row r="156" spans="1:12" ht="47.25" hidden="1" x14ac:dyDescent="0.25">
      <c r="A156" s="69" t="s">
        <v>200</v>
      </c>
      <c r="B156" s="65" t="s">
        <v>170</v>
      </c>
      <c r="C156" s="66"/>
      <c r="D156" s="143"/>
      <c r="E156" s="143"/>
      <c r="F156" s="66"/>
      <c r="G156" s="66"/>
      <c r="H156" s="66"/>
      <c r="I156" s="144" t="s">
        <v>350</v>
      </c>
      <c r="J156" s="145"/>
      <c r="K156" s="224">
        <v>27251</v>
      </c>
      <c r="L156" s="31" t="str">
        <f t="shared" si="2"/>
        <v>-</v>
      </c>
    </row>
    <row r="157" spans="1:12" ht="31.5" x14ac:dyDescent="0.25">
      <c r="A157" s="70" t="s">
        <v>351</v>
      </c>
      <c r="B157" s="65" t="s">
        <v>170</v>
      </c>
      <c r="C157" s="61" t="s">
        <v>1</v>
      </c>
      <c r="D157" s="140" t="s">
        <v>542</v>
      </c>
      <c r="E157" s="140" t="s">
        <v>548</v>
      </c>
      <c r="F157" s="66" t="s">
        <v>617</v>
      </c>
      <c r="G157" s="66"/>
      <c r="H157" s="66"/>
      <c r="I157" s="144"/>
      <c r="J157" s="145"/>
      <c r="K157" s="224">
        <f>19800/1000</f>
        <v>19.8</v>
      </c>
      <c r="L157" s="31" t="str">
        <f t="shared" si="2"/>
        <v>-</v>
      </c>
    </row>
    <row r="158" spans="1:12" ht="47.25" x14ac:dyDescent="0.25">
      <c r="A158" s="59" t="s">
        <v>196</v>
      </c>
      <c r="B158" s="65" t="s">
        <v>170</v>
      </c>
      <c r="C158" s="61" t="s">
        <v>1</v>
      </c>
      <c r="D158" s="140" t="s">
        <v>542</v>
      </c>
      <c r="E158" s="140" t="s">
        <v>548</v>
      </c>
      <c r="F158" s="66" t="s">
        <v>617</v>
      </c>
      <c r="G158" s="66"/>
      <c r="H158" s="66"/>
      <c r="I158" s="144" t="s">
        <v>587</v>
      </c>
      <c r="J158" s="145"/>
      <c r="K158" s="224">
        <f>19800/1000</f>
        <v>19.8</v>
      </c>
      <c r="L158" s="31" t="str">
        <f t="shared" si="2"/>
        <v>-</v>
      </c>
    </row>
    <row r="159" spans="1:12" ht="47.25" hidden="1" x14ac:dyDescent="0.25">
      <c r="A159" s="69" t="s">
        <v>200</v>
      </c>
      <c r="B159" s="65" t="s">
        <v>170</v>
      </c>
      <c r="C159" s="66"/>
      <c r="D159" s="143"/>
      <c r="E159" s="143"/>
      <c r="F159" s="66"/>
      <c r="G159" s="66"/>
      <c r="H159" s="66"/>
      <c r="I159" s="144" t="s">
        <v>354</v>
      </c>
      <c r="J159" s="145"/>
      <c r="K159" s="224">
        <v>19800</v>
      </c>
      <c r="L159" s="31" t="str">
        <f t="shared" si="2"/>
        <v>-</v>
      </c>
    </row>
    <row r="160" spans="1:12" ht="31.5" x14ac:dyDescent="0.25">
      <c r="A160" s="70" t="s">
        <v>355</v>
      </c>
      <c r="B160" s="65" t="s">
        <v>170</v>
      </c>
      <c r="C160" s="61" t="s">
        <v>1</v>
      </c>
      <c r="D160" s="140" t="s">
        <v>542</v>
      </c>
      <c r="E160" s="140" t="s">
        <v>548</v>
      </c>
      <c r="F160" s="66" t="s">
        <v>618</v>
      </c>
      <c r="G160" s="66"/>
      <c r="H160" s="66"/>
      <c r="I160" s="144"/>
      <c r="J160" s="145"/>
      <c r="K160" s="224">
        <f>3200920/1000</f>
        <v>3200.92</v>
      </c>
      <c r="L160" s="31" t="str">
        <f t="shared" si="2"/>
        <v>-</v>
      </c>
    </row>
    <row r="161" spans="1:12" ht="48" thickBot="1" x14ac:dyDescent="0.3">
      <c r="A161" s="59" t="s">
        <v>196</v>
      </c>
      <c r="B161" s="65" t="s">
        <v>170</v>
      </c>
      <c r="C161" s="61" t="s">
        <v>1</v>
      </c>
      <c r="D161" s="140" t="s">
        <v>542</v>
      </c>
      <c r="E161" s="140" t="s">
        <v>548</v>
      </c>
      <c r="F161" s="66" t="s">
        <v>618</v>
      </c>
      <c r="G161" s="66"/>
      <c r="H161" s="66"/>
      <c r="I161" s="144" t="s">
        <v>571</v>
      </c>
      <c r="J161" s="145"/>
      <c r="K161" s="224">
        <f>3200920/1000</f>
        <v>3200.92</v>
      </c>
      <c r="L161" s="31" t="str">
        <f t="shared" si="2"/>
        <v>-</v>
      </c>
    </row>
    <row r="162" spans="1:12" ht="47.25" hidden="1" x14ac:dyDescent="0.25">
      <c r="A162" s="69" t="s">
        <v>200</v>
      </c>
      <c r="B162" s="71" t="s">
        <v>170</v>
      </c>
      <c r="C162" s="72"/>
      <c r="D162" s="146"/>
      <c r="E162" s="146"/>
      <c r="F162" s="72"/>
      <c r="G162" s="72"/>
      <c r="H162" s="72"/>
      <c r="I162" s="147" t="s">
        <v>358</v>
      </c>
      <c r="J162" s="148"/>
      <c r="K162" s="225">
        <v>3200920</v>
      </c>
      <c r="L162" s="31" t="str">
        <f t="shared" si="2"/>
        <v>-</v>
      </c>
    </row>
    <row r="163" spans="1:12" ht="32.25" thickBot="1" x14ac:dyDescent="0.3">
      <c r="A163" s="114" t="s">
        <v>359</v>
      </c>
      <c r="B163" s="115" t="s">
        <v>170</v>
      </c>
      <c r="C163" s="116" t="s">
        <v>1</v>
      </c>
      <c r="D163" s="135" t="s">
        <v>549</v>
      </c>
      <c r="E163" s="135"/>
      <c r="F163" s="116"/>
      <c r="G163" s="116"/>
      <c r="H163" s="116"/>
      <c r="I163" s="119"/>
      <c r="J163" s="120"/>
      <c r="K163" s="230">
        <f>49852591.12/1000</f>
        <v>49852.591119999997</v>
      </c>
      <c r="L163" s="29" t="str">
        <f t="shared" si="2"/>
        <v>-</v>
      </c>
    </row>
    <row r="164" spans="1:12" ht="32.25" thickBot="1" x14ac:dyDescent="0.3">
      <c r="A164" s="54" t="s">
        <v>360</v>
      </c>
      <c r="B164" s="55" t="s">
        <v>170</v>
      </c>
      <c r="C164" s="56" t="s">
        <v>1</v>
      </c>
      <c r="D164" s="136" t="s">
        <v>549</v>
      </c>
      <c r="E164" s="136" t="s">
        <v>538</v>
      </c>
      <c r="F164" s="56"/>
      <c r="G164" s="56"/>
      <c r="H164" s="56"/>
      <c r="I164" s="137"/>
      <c r="J164" s="138"/>
      <c r="K164" s="215">
        <f>1613933.72/1000</f>
        <v>1613.93372</v>
      </c>
      <c r="L164" s="29" t="str">
        <f t="shared" si="2"/>
        <v>-</v>
      </c>
    </row>
    <row r="165" spans="1:12" ht="31.5" x14ac:dyDescent="0.25">
      <c r="A165" s="139" t="s">
        <v>360</v>
      </c>
      <c r="B165" s="60" t="s">
        <v>170</v>
      </c>
      <c r="C165" s="61" t="s">
        <v>1</v>
      </c>
      <c r="D165" s="140" t="s">
        <v>549</v>
      </c>
      <c r="E165" s="140" t="s">
        <v>538</v>
      </c>
      <c r="F165" s="61" t="s">
        <v>592</v>
      </c>
      <c r="G165" s="61"/>
      <c r="H165" s="61"/>
      <c r="I165" s="141"/>
      <c r="J165" s="142"/>
      <c r="K165" s="218">
        <f>1613933.72/1000</f>
        <v>1613.93372</v>
      </c>
      <c r="L165" s="29" t="str">
        <f t="shared" si="2"/>
        <v>-</v>
      </c>
    </row>
    <row r="166" spans="1:12" ht="31.5" x14ac:dyDescent="0.25">
      <c r="A166" s="70" t="s">
        <v>178</v>
      </c>
      <c r="B166" s="65" t="s">
        <v>170</v>
      </c>
      <c r="C166" s="61" t="s">
        <v>1</v>
      </c>
      <c r="D166" s="140" t="s">
        <v>549</v>
      </c>
      <c r="E166" s="140" t="s">
        <v>538</v>
      </c>
      <c r="F166" s="66" t="s">
        <v>593</v>
      </c>
      <c r="G166" s="66"/>
      <c r="H166" s="66"/>
      <c r="I166" s="144"/>
      <c r="J166" s="145"/>
      <c r="K166" s="224">
        <f>1613933.72/1000</f>
        <v>1613.93372</v>
      </c>
      <c r="L166" s="31" t="str">
        <f t="shared" si="2"/>
        <v>-</v>
      </c>
    </row>
    <row r="167" spans="1:12" ht="31.5" x14ac:dyDescent="0.25">
      <c r="A167" s="139" t="s">
        <v>363</v>
      </c>
      <c r="B167" s="65" t="s">
        <v>170</v>
      </c>
      <c r="C167" s="61" t="s">
        <v>1</v>
      </c>
      <c r="D167" s="140" t="s">
        <v>549</v>
      </c>
      <c r="E167" s="140" t="s">
        <v>538</v>
      </c>
      <c r="F167" s="66" t="s">
        <v>619</v>
      </c>
      <c r="G167" s="66"/>
      <c r="H167" s="66"/>
      <c r="I167" s="144"/>
      <c r="J167" s="145"/>
      <c r="K167" s="224">
        <f>900000/1000</f>
        <v>900</v>
      </c>
      <c r="L167" s="31" t="str">
        <f t="shared" si="2"/>
        <v>-</v>
      </c>
    </row>
    <row r="168" spans="1:12" ht="47.25" x14ac:dyDescent="0.25">
      <c r="A168" s="70" t="s">
        <v>196</v>
      </c>
      <c r="B168" s="65" t="s">
        <v>170</v>
      </c>
      <c r="C168" s="61" t="s">
        <v>1</v>
      </c>
      <c r="D168" s="140" t="s">
        <v>549</v>
      </c>
      <c r="E168" s="140" t="s">
        <v>538</v>
      </c>
      <c r="F168" s="66" t="s">
        <v>619</v>
      </c>
      <c r="G168" s="66"/>
      <c r="H168" s="66"/>
      <c r="I168" s="144" t="s">
        <v>571</v>
      </c>
      <c r="J168" s="145"/>
      <c r="K168" s="224">
        <f>900000/1000</f>
        <v>900</v>
      </c>
      <c r="L168" s="31" t="str">
        <f t="shared" si="2"/>
        <v>-</v>
      </c>
    </row>
    <row r="169" spans="1:12" ht="47.25" hidden="1" x14ac:dyDescent="0.25">
      <c r="A169" s="139" t="s">
        <v>200</v>
      </c>
      <c r="B169" s="65" t="s">
        <v>170</v>
      </c>
      <c r="C169" s="66"/>
      <c r="D169" s="143"/>
      <c r="E169" s="143"/>
      <c r="F169" s="66"/>
      <c r="G169" s="66"/>
      <c r="H169" s="66"/>
      <c r="I169" s="144" t="s">
        <v>366</v>
      </c>
      <c r="J169" s="145"/>
      <c r="K169" s="224">
        <v>900000</v>
      </c>
      <c r="L169" s="31" t="str">
        <f t="shared" si="2"/>
        <v>-</v>
      </c>
    </row>
    <row r="170" spans="1:12" ht="31.5" x14ac:dyDescent="0.25">
      <c r="A170" s="70" t="s">
        <v>367</v>
      </c>
      <c r="B170" s="65" t="s">
        <v>170</v>
      </c>
      <c r="C170" s="61" t="s">
        <v>1</v>
      </c>
      <c r="D170" s="140" t="s">
        <v>549</v>
      </c>
      <c r="E170" s="140" t="s">
        <v>538</v>
      </c>
      <c r="F170" s="66" t="s">
        <v>620</v>
      </c>
      <c r="G170" s="66"/>
      <c r="H170" s="66"/>
      <c r="I170" s="144"/>
      <c r="J170" s="145"/>
      <c r="K170" s="224">
        <f>713933.72/1000</f>
        <v>713.93371999999999</v>
      </c>
      <c r="L170" s="31" t="str">
        <f t="shared" si="2"/>
        <v>-</v>
      </c>
    </row>
    <row r="171" spans="1:12" ht="48" thickBot="1" x14ac:dyDescent="0.3">
      <c r="A171" s="59" t="s">
        <v>196</v>
      </c>
      <c r="B171" s="65" t="s">
        <v>170</v>
      </c>
      <c r="C171" s="61" t="s">
        <v>1</v>
      </c>
      <c r="D171" s="140" t="s">
        <v>549</v>
      </c>
      <c r="E171" s="140" t="s">
        <v>538</v>
      </c>
      <c r="F171" s="66" t="s">
        <v>620</v>
      </c>
      <c r="G171" s="66"/>
      <c r="H171" s="66"/>
      <c r="I171" s="144" t="s">
        <v>571</v>
      </c>
      <c r="J171" s="145"/>
      <c r="K171" s="224">
        <f>713933.72/1000</f>
        <v>713.93371999999999</v>
      </c>
      <c r="L171" s="31" t="str">
        <f t="shared" si="2"/>
        <v>-</v>
      </c>
    </row>
    <row r="172" spans="1:12" ht="15.75" hidden="1" x14ac:dyDescent="0.25">
      <c r="A172" s="156" t="s">
        <v>1</v>
      </c>
      <c r="B172" s="132" t="s">
        <v>549</v>
      </c>
      <c r="C172" s="132" t="s">
        <v>538</v>
      </c>
      <c r="D172" s="146"/>
      <c r="E172" s="146"/>
      <c r="F172" s="72"/>
      <c r="G172" s="72"/>
      <c r="H172" s="72"/>
      <c r="I172" s="147" t="s">
        <v>370</v>
      </c>
      <c r="J172" s="148"/>
      <c r="K172" s="225">
        <v>713933.72</v>
      </c>
      <c r="L172" s="31" t="str">
        <f t="shared" si="2"/>
        <v>-</v>
      </c>
    </row>
    <row r="173" spans="1:12" ht="32.25" thickBot="1" x14ac:dyDescent="0.3">
      <c r="A173" s="54" t="s">
        <v>371</v>
      </c>
      <c r="B173" s="55" t="s">
        <v>170</v>
      </c>
      <c r="C173" s="56" t="s">
        <v>1</v>
      </c>
      <c r="D173" s="136" t="s">
        <v>549</v>
      </c>
      <c r="E173" s="136" t="s">
        <v>540</v>
      </c>
      <c r="F173" s="56"/>
      <c r="G173" s="56"/>
      <c r="H173" s="56"/>
      <c r="I173" s="137"/>
      <c r="J173" s="138"/>
      <c r="K173" s="215">
        <f>12196505.96/1000</f>
        <v>12196.50596</v>
      </c>
      <c r="L173" s="29" t="str">
        <f t="shared" si="2"/>
        <v>-</v>
      </c>
    </row>
    <row r="174" spans="1:12" ht="31.5" x14ac:dyDescent="0.25">
      <c r="A174" s="139" t="s">
        <v>371</v>
      </c>
      <c r="B174" s="81" t="s">
        <v>170</v>
      </c>
      <c r="C174" s="61" t="s">
        <v>1</v>
      </c>
      <c r="D174" s="140" t="s">
        <v>549</v>
      </c>
      <c r="E174" s="140" t="s">
        <v>540</v>
      </c>
      <c r="F174" s="61" t="s">
        <v>622</v>
      </c>
      <c r="G174" s="61"/>
      <c r="H174" s="61"/>
      <c r="I174" s="141"/>
      <c r="J174" s="142"/>
      <c r="K174" s="218">
        <f>9396548.86/1000</f>
        <v>9396.548859999999</v>
      </c>
      <c r="L174" s="29" t="str">
        <f t="shared" si="2"/>
        <v>-</v>
      </c>
    </row>
    <row r="175" spans="1:12" ht="63" x14ac:dyDescent="0.25">
      <c r="A175" s="70" t="s">
        <v>373</v>
      </c>
      <c r="B175" s="65" t="s">
        <v>170</v>
      </c>
      <c r="C175" s="61" t="s">
        <v>1</v>
      </c>
      <c r="D175" s="140" t="s">
        <v>549</v>
      </c>
      <c r="E175" s="140" t="s">
        <v>540</v>
      </c>
      <c r="F175" s="66" t="s">
        <v>621</v>
      </c>
      <c r="G175" s="66"/>
      <c r="H175" s="66"/>
      <c r="I175" s="144"/>
      <c r="J175" s="145"/>
      <c r="K175" s="224">
        <f>9396548.86/1000</f>
        <v>9396.548859999999</v>
      </c>
      <c r="L175" s="31" t="str">
        <f t="shared" si="2"/>
        <v>-</v>
      </c>
    </row>
    <row r="176" spans="1:12" ht="63" x14ac:dyDescent="0.25">
      <c r="A176" s="139" t="s">
        <v>375</v>
      </c>
      <c r="B176" s="65" t="s">
        <v>170</v>
      </c>
      <c r="C176" s="61" t="s">
        <v>1</v>
      </c>
      <c r="D176" s="140" t="s">
        <v>549</v>
      </c>
      <c r="E176" s="140" t="s">
        <v>540</v>
      </c>
      <c r="F176" s="66" t="s">
        <v>623</v>
      </c>
      <c r="G176" s="66"/>
      <c r="H176" s="66"/>
      <c r="I176" s="144"/>
      <c r="J176" s="145"/>
      <c r="K176" s="224">
        <f>9377062.86/1000</f>
        <v>9377.06286</v>
      </c>
      <c r="L176" s="31" t="str">
        <f t="shared" si="2"/>
        <v>-</v>
      </c>
    </row>
    <row r="177" spans="1:12" ht="47.25" x14ac:dyDescent="0.25">
      <c r="A177" s="70" t="s">
        <v>196</v>
      </c>
      <c r="B177" s="65" t="s">
        <v>170</v>
      </c>
      <c r="C177" s="61" t="s">
        <v>1</v>
      </c>
      <c r="D177" s="140" t="s">
        <v>549</v>
      </c>
      <c r="E177" s="140" t="s">
        <v>540</v>
      </c>
      <c r="F177" s="66" t="s">
        <v>623</v>
      </c>
      <c r="G177" s="66"/>
      <c r="H177" s="66"/>
      <c r="I177" s="144" t="s">
        <v>571</v>
      </c>
      <c r="J177" s="145"/>
      <c r="K177" s="224">
        <f>9377062.86/1000</f>
        <v>9377.06286</v>
      </c>
      <c r="L177" s="31" t="str">
        <f t="shared" si="2"/>
        <v>-</v>
      </c>
    </row>
    <row r="178" spans="1:12" ht="47.25" hidden="1" x14ac:dyDescent="0.25">
      <c r="A178" s="59" t="s">
        <v>200</v>
      </c>
      <c r="B178" s="65" t="s">
        <v>170</v>
      </c>
      <c r="C178" s="66"/>
      <c r="D178" s="143"/>
      <c r="E178" s="143"/>
      <c r="F178" s="66"/>
      <c r="G178" s="66"/>
      <c r="H178" s="66"/>
      <c r="I178" s="144" t="s">
        <v>378</v>
      </c>
      <c r="J178" s="145"/>
      <c r="K178" s="224">
        <v>9377062.8599999994</v>
      </c>
      <c r="L178" s="31" t="str">
        <f t="shared" si="2"/>
        <v>-</v>
      </c>
    </row>
    <row r="179" spans="1:12" ht="47.25" x14ac:dyDescent="0.25">
      <c r="A179" s="69" t="s">
        <v>379</v>
      </c>
      <c r="B179" s="65" t="s">
        <v>170</v>
      </c>
      <c r="C179" s="61" t="s">
        <v>1</v>
      </c>
      <c r="D179" s="140" t="s">
        <v>549</v>
      </c>
      <c r="E179" s="140" t="s">
        <v>540</v>
      </c>
      <c r="F179" s="66" t="s">
        <v>624</v>
      </c>
      <c r="G179" s="66"/>
      <c r="H179" s="66"/>
      <c r="I179" s="144"/>
      <c r="J179" s="145"/>
      <c r="K179" s="224">
        <f>19486/1000</f>
        <v>19.486000000000001</v>
      </c>
      <c r="L179" s="31" t="str">
        <f t="shared" si="2"/>
        <v>-</v>
      </c>
    </row>
    <row r="180" spans="1:12" ht="47.25" x14ac:dyDescent="0.25">
      <c r="A180" s="70" t="s">
        <v>196</v>
      </c>
      <c r="B180" s="65" t="s">
        <v>170</v>
      </c>
      <c r="C180" s="61" t="s">
        <v>1</v>
      </c>
      <c r="D180" s="140" t="s">
        <v>549</v>
      </c>
      <c r="E180" s="140" t="s">
        <v>540</v>
      </c>
      <c r="F180" s="66" t="s">
        <v>624</v>
      </c>
      <c r="G180" s="66"/>
      <c r="H180" s="66"/>
      <c r="I180" s="144" t="s">
        <v>571</v>
      </c>
      <c r="J180" s="145"/>
      <c r="K180" s="224">
        <f>19486/1000</f>
        <v>19.486000000000001</v>
      </c>
      <c r="L180" s="31" t="str">
        <f t="shared" si="2"/>
        <v>-</v>
      </c>
    </row>
    <row r="181" spans="1:12" ht="47.25" hidden="1" x14ac:dyDescent="0.25">
      <c r="A181" s="59" t="s">
        <v>200</v>
      </c>
      <c r="B181" s="65" t="s">
        <v>170</v>
      </c>
      <c r="C181" s="66"/>
      <c r="D181" s="143"/>
      <c r="E181" s="143"/>
      <c r="F181" s="66"/>
      <c r="G181" s="66"/>
      <c r="H181" s="66"/>
      <c r="I181" s="144" t="s">
        <v>382</v>
      </c>
      <c r="J181" s="145"/>
      <c r="K181" s="224">
        <v>19486</v>
      </c>
      <c r="L181" s="31" t="str">
        <f t="shared" si="2"/>
        <v>-</v>
      </c>
    </row>
    <row r="182" spans="1:12" ht="31.5" x14ac:dyDescent="0.25">
      <c r="A182" s="139" t="s">
        <v>371</v>
      </c>
      <c r="B182" s="81" t="s">
        <v>170</v>
      </c>
      <c r="C182" s="61" t="s">
        <v>1</v>
      </c>
      <c r="D182" s="140" t="s">
        <v>549</v>
      </c>
      <c r="E182" s="140" t="s">
        <v>540</v>
      </c>
      <c r="F182" s="61" t="s">
        <v>592</v>
      </c>
      <c r="G182" s="61"/>
      <c r="H182" s="61"/>
      <c r="I182" s="141"/>
      <c r="J182" s="142"/>
      <c r="K182" s="218">
        <f>2799957.1/1000</f>
        <v>2799.9571000000001</v>
      </c>
      <c r="L182" s="29" t="str">
        <f t="shared" si="2"/>
        <v>-</v>
      </c>
    </row>
    <row r="183" spans="1:12" ht="31.5" x14ac:dyDescent="0.25">
      <c r="A183" s="70" t="s">
        <v>178</v>
      </c>
      <c r="B183" s="65" t="s">
        <v>170</v>
      </c>
      <c r="C183" s="61" t="s">
        <v>1</v>
      </c>
      <c r="D183" s="140" t="s">
        <v>549</v>
      </c>
      <c r="E183" s="140" t="s">
        <v>540</v>
      </c>
      <c r="F183" s="66" t="s">
        <v>593</v>
      </c>
      <c r="G183" s="66"/>
      <c r="H183" s="66"/>
      <c r="I183" s="144"/>
      <c r="J183" s="145"/>
      <c r="K183" s="224">
        <f>2799957.1/1000</f>
        <v>2799.9571000000001</v>
      </c>
      <c r="L183" s="31" t="str">
        <f t="shared" si="2"/>
        <v>-</v>
      </c>
    </row>
    <row r="184" spans="1:12" ht="63" x14ac:dyDescent="0.25">
      <c r="A184" s="70" t="s">
        <v>375</v>
      </c>
      <c r="B184" s="65" t="s">
        <v>170</v>
      </c>
      <c r="C184" s="61" t="s">
        <v>1</v>
      </c>
      <c r="D184" s="140" t="s">
        <v>549</v>
      </c>
      <c r="E184" s="140" t="s">
        <v>540</v>
      </c>
      <c r="F184" s="66" t="s">
        <v>625</v>
      </c>
      <c r="G184" s="66"/>
      <c r="H184" s="66"/>
      <c r="I184" s="144"/>
      <c r="J184" s="145"/>
      <c r="K184" s="224">
        <f>2799957.1/1000</f>
        <v>2799.9571000000001</v>
      </c>
      <c r="L184" s="31" t="str">
        <f t="shared" si="2"/>
        <v>-</v>
      </c>
    </row>
    <row r="185" spans="1:12" ht="48" thickBot="1" x14ac:dyDescent="0.3">
      <c r="A185" s="59" t="s">
        <v>196</v>
      </c>
      <c r="B185" s="65" t="s">
        <v>170</v>
      </c>
      <c r="C185" s="61" t="s">
        <v>1</v>
      </c>
      <c r="D185" s="140" t="s">
        <v>549</v>
      </c>
      <c r="E185" s="140" t="s">
        <v>540</v>
      </c>
      <c r="F185" s="66" t="s">
        <v>625</v>
      </c>
      <c r="G185" s="66"/>
      <c r="H185" s="66"/>
      <c r="I185" s="144" t="s">
        <v>571</v>
      </c>
      <c r="J185" s="145"/>
      <c r="K185" s="224">
        <f>2799957.1/1000</f>
        <v>2799.9571000000001</v>
      </c>
      <c r="L185" s="31" t="str">
        <f t="shared" si="2"/>
        <v>-</v>
      </c>
    </row>
    <row r="186" spans="1:12" ht="47.25" hidden="1" x14ac:dyDescent="0.25">
      <c r="A186" s="69" t="s">
        <v>200</v>
      </c>
      <c r="B186" s="71" t="s">
        <v>170</v>
      </c>
      <c r="C186" s="72"/>
      <c r="D186" s="146"/>
      <c r="E186" s="146"/>
      <c r="F186" s="72"/>
      <c r="G186" s="72"/>
      <c r="H186" s="72"/>
      <c r="I186" s="147" t="s">
        <v>387</v>
      </c>
      <c r="J186" s="148"/>
      <c r="K186" s="225">
        <v>2799957.1</v>
      </c>
      <c r="L186" s="31" t="str">
        <f t="shared" si="2"/>
        <v>-</v>
      </c>
    </row>
    <row r="187" spans="1:12" ht="32.25" thickBot="1" x14ac:dyDescent="0.3">
      <c r="A187" s="54" t="s">
        <v>388</v>
      </c>
      <c r="B187" s="55" t="s">
        <v>170</v>
      </c>
      <c r="C187" s="56" t="s">
        <v>1</v>
      </c>
      <c r="D187" s="136" t="s">
        <v>549</v>
      </c>
      <c r="E187" s="136" t="s">
        <v>541</v>
      </c>
      <c r="F187" s="56"/>
      <c r="G187" s="56"/>
      <c r="H187" s="56"/>
      <c r="I187" s="137"/>
      <c r="J187" s="138"/>
      <c r="K187" s="215">
        <f>36042151.44/1000</f>
        <v>36042.151439999994</v>
      </c>
      <c r="L187" s="29" t="str">
        <f t="shared" si="2"/>
        <v>-</v>
      </c>
    </row>
    <row r="188" spans="1:12" ht="31.5" x14ac:dyDescent="0.25">
      <c r="A188" s="139" t="s">
        <v>388</v>
      </c>
      <c r="B188" s="60" t="s">
        <v>170</v>
      </c>
      <c r="C188" s="61" t="s">
        <v>1</v>
      </c>
      <c r="D188" s="140" t="s">
        <v>549</v>
      </c>
      <c r="E188" s="140" t="s">
        <v>541</v>
      </c>
      <c r="F188" s="61" t="s">
        <v>626</v>
      </c>
      <c r="G188" s="61"/>
      <c r="H188" s="61"/>
      <c r="I188" s="141"/>
      <c r="J188" s="142"/>
      <c r="K188" s="218">
        <f>34042151.44/1000</f>
        <v>34042.151439999994</v>
      </c>
      <c r="L188" s="29" t="str">
        <f t="shared" si="2"/>
        <v>-</v>
      </c>
    </row>
    <row r="189" spans="1:12" ht="94.5" x14ac:dyDescent="0.25">
      <c r="A189" s="70" t="s">
        <v>390</v>
      </c>
      <c r="B189" s="65" t="s">
        <v>170</v>
      </c>
      <c r="C189" s="61" t="s">
        <v>1</v>
      </c>
      <c r="D189" s="140" t="s">
        <v>549</v>
      </c>
      <c r="E189" s="140" t="s">
        <v>541</v>
      </c>
      <c r="F189" s="66" t="s">
        <v>641</v>
      </c>
      <c r="G189" s="66"/>
      <c r="H189" s="66"/>
      <c r="I189" s="144"/>
      <c r="J189" s="145"/>
      <c r="K189" s="224">
        <f>34042151.44/1000</f>
        <v>34042.151439999994</v>
      </c>
      <c r="L189" s="31" t="str">
        <f t="shared" si="2"/>
        <v>-</v>
      </c>
    </row>
    <row r="190" spans="1:12" ht="78.75" x14ac:dyDescent="0.25">
      <c r="A190" s="139" t="s">
        <v>392</v>
      </c>
      <c r="B190" s="65" t="s">
        <v>170</v>
      </c>
      <c r="C190" s="61" t="s">
        <v>1</v>
      </c>
      <c r="D190" s="140" t="s">
        <v>549</v>
      </c>
      <c r="E190" s="140" t="s">
        <v>541</v>
      </c>
      <c r="F190" s="66" t="s">
        <v>627</v>
      </c>
      <c r="G190" s="66"/>
      <c r="H190" s="66"/>
      <c r="I190" s="144"/>
      <c r="J190" s="145"/>
      <c r="K190" s="224">
        <f>12542563.17/1000</f>
        <v>12542.563169999999</v>
      </c>
      <c r="L190" s="31" t="str">
        <f t="shared" si="2"/>
        <v>-</v>
      </c>
    </row>
    <row r="191" spans="1:12" ht="47.25" x14ac:dyDescent="0.25">
      <c r="A191" s="70" t="s">
        <v>196</v>
      </c>
      <c r="B191" s="65" t="s">
        <v>170</v>
      </c>
      <c r="C191" s="61" t="s">
        <v>1</v>
      </c>
      <c r="D191" s="140" t="s">
        <v>549</v>
      </c>
      <c r="E191" s="140" t="s">
        <v>541</v>
      </c>
      <c r="F191" s="66" t="s">
        <v>627</v>
      </c>
      <c r="G191" s="66"/>
      <c r="H191" s="66"/>
      <c r="I191" s="144" t="s">
        <v>571</v>
      </c>
      <c r="J191" s="145"/>
      <c r="K191" s="224">
        <f>12542563.17/1000</f>
        <v>12542.563169999999</v>
      </c>
      <c r="L191" s="31" t="str">
        <f t="shared" si="2"/>
        <v>-</v>
      </c>
    </row>
    <row r="192" spans="1:12" ht="47.25" hidden="1" x14ac:dyDescent="0.25">
      <c r="A192" s="59" t="s">
        <v>200</v>
      </c>
      <c r="B192" s="65" t="s">
        <v>170</v>
      </c>
      <c r="C192" s="66"/>
      <c r="D192" s="143"/>
      <c r="E192" s="143"/>
      <c r="F192" s="66"/>
      <c r="G192" s="66"/>
      <c r="H192" s="66"/>
      <c r="I192" s="144" t="s">
        <v>395</v>
      </c>
      <c r="J192" s="145"/>
      <c r="K192" s="224">
        <v>12542563.17</v>
      </c>
      <c r="L192" s="31" t="str">
        <f t="shared" si="2"/>
        <v>-</v>
      </c>
    </row>
    <row r="193" spans="1:12" ht="78.75" x14ac:dyDescent="0.25">
      <c r="A193" s="69" t="s">
        <v>396</v>
      </c>
      <c r="B193" s="65" t="s">
        <v>170</v>
      </c>
      <c r="C193" s="61" t="s">
        <v>1</v>
      </c>
      <c r="D193" s="140" t="s">
        <v>549</v>
      </c>
      <c r="E193" s="140" t="s">
        <v>541</v>
      </c>
      <c r="F193" s="66" t="s">
        <v>628</v>
      </c>
      <c r="G193" s="66"/>
      <c r="H193" s="66"/>
      <c r="I193" s="144"/>
      <c r="J193" s="145"/>
      <c r="K193" s="224">
        <f>21499588.27/1000</f>
        <v>21499.58827</v>
      </c>
      <c r="L193" s="31" t="str">
        <f t="shared" si="2"/>
        <v>-</v>
      </c>
    </row>
    <row r="194" spans="1:12" ht="47.25" x14ac:dyDescent="0.25">
      <c r="A194" s="70" t="s">
        <v>196</v>
      </c>
      <c r="B194" s="65" t="s">
        <v>170</v>
      </c>
      <c r="C194" s="61" t="s">
        <v>1</v>
      </c>
      <c r="D194" s="140" t="s">
        <v>549</v>
      </c>
      <c r="E194" s="140" t="s">
        <v>541</v>
      </c>
      <c r="F194" s="66" t="s">
        <v>628</v>
      </c>
      <c r="G194" s="66"/>
      <c r="H194" s="66"/>
      <c r="I194" s="144" t="s">
        <v>571</v>
      </c>
      <c r="J194" s="145"/>
      <c r="K194" s="224">
        <f>21499588.27/1000</f>
        <v>21499.58827</v>
      </c>
      <c r="L194" s="31" t="str">
        <f t="shared" si="2"/>
        <v>-</v>
      </c>
    </row>
    <row r="195" spans="1:12" ht="47.25" hidden="1" x14ac:dyDescent="0.25">
      <c r="A195" s="59" t="s">
        <v>200</v>
      </c>
      <c r="B195" s="65" t="s">
        <v>170</v>
      </c>
      <c r="C195" s="66"/>
      <c r="D195" s="143"/>
      <c r="E195" s="143"/>
      <c r="F195" s="66"/>
      <c r="G195" s="66"/>
      <c r="H195" s="66"/>
      <c r="I195" s="144" t="s">
        <v>399</v>
      </c>
      <c r="J195" s="145"/>
      <c r="K195" s="224">
        <v>21499588.27</v>
      </c>
      <c r="L195" s="31" t="str">
        <f t="shared" si="2"/>
        <v>-</v>
      </c>
    </row>
    <row r="196" spans="1:12" ht="31.5" x14ac:dyDescent="0.25">
      <c r="A196" s="139" t="s">
        <v>388</v>
      </c>
      <c r="B196" s="81" t="s">
        <v>170</v>
      </c>
      <c r="C196" s="61" t="s">
        <v>1</v>
      </c>
      <c r="D196" s="140" t="s">
        <v>549</v>
      </c>
      <c r="E196" s="140" t="s">
        <v>541</v>
      </c>
      <c r="F196" s="61" t="s">
        <v>592</v>
      </c>
      <c r="G196" s="61"/>
      <c r="H196" s="61"/>
      <c r="I196" s="141"/>
      <c r="J196" s="142"/>
      <c r="K196" s="218">
        <f>2000000/1000</f>
        <v>2000</v>
      </c>
      <c r="L196" s="29" t="str">
        <f t="shared" si="2"/>
        <v>-</v>
      </c>
    </row>
    <row r="197" spans="1:12" ht="31.5" x14ac:dyDescent="0.25">
      <c r="A197" s="70" t="s">
        <v>178</v>
      </c>
      <c r="B197" s="65" t="s">
        <v>170</v>
      </c>
      <c r="C197" s="61" t="s">
        <v>1</v>
      </c>
      <c r="D197" s="140" t="s">
        <v>549</v>
      </c>
      <c r="E197" s="140" t="s">
        <v>541</v>
      </c>
      <c r="F197" s="66" t="s">
        <v>593</v>
      </c>
      <c r="G197" s="66"/>
      <c r="H197" s="66"/>
      <c r="I197" s="144"/>
      <c r="J197" s="145"/>
      <c r="K197" s="224">
        <f>2000000/1000</f>
        <v>2000</v>
      </c>
      <c r="L197" s="31" t="str">
        <f t="shared" si="2"/>
        <v>-</v>
      </c>
    </row>
    <row r="198" spans="1:12" ht="31.5" x14ac:dyDescent="0.25">
      <c r="A198" s="70" t="s">
        <v>402</v>
      </c>
      <c r="B198" s="65" t="s">
        <v>170</v>
      </c>
      <c r="C198" s="61" t="s">
        <v>1</v>
      </c>
      <c r="D198" s="140" t="s">
        <v>549</v>
      </c>
      <c r="E198" s="140" t="s">
        <v>541</v>
      </c>
      <c r="F198" s="66" t="s">
        <v>629</v>
      </c>
      <c r="G198" s="66"/>
      <c r="H198" s="66"/>
      <c r="I198" s="144"/>
      <c r="J198" s="145"/>
      <c r="K198" s="224">
        <f>2000000/1000</f>
        <v>2000</v>
      </c>
      <c r="L198" s="31" t="str">
        <f t="shared" si="2"/>
        <v>-</v>
      </c>
    </row>
    <row r="199" spans="1:12" ht="48" thickBot="1" x14ac:dyDescent="0.3">
      <c r="A199" s="59" t="s">
        <v>196</v>
      </c>
      <c r="B199" s="65" t="s">
        <v>170</v>
      </c>
      <c r="C199" s="61" t="s">
        <v>1</v>
      </c>
      <c r="D199" s="140" t="s">
        <v>549</v>
      </c>
      <c r="E199" s="140" t="s">
        <v>541</v>
      </c>
      <c r="F199" s="66" t="s">
        <v>629</v>
      </c>
      <c r="G199" s="66"/>
      <c r="H199" s="66"/>
      <c r="I199" s="144" t="s">
        <v>571</v>
      </c>
      <c r="J199" s="145"/>
      <c r="K199" s="224">
        <f>2000000/1000</f>
        <v>2000</v>
      </c>
      <c r="L199" s="31" t="str">
        <f t="shared" si="2"/>
        <v>-</v>
      </c>
    </row>
    <row r="200" spans="1:12" ht="47.25" hidden="1" x14ac:dyDescent="0.25">
      <c r="A200" s="69" t="s">
        <v>200</v>
      </c>
      <c r="B200" s="71" t="s">
        <v>170</v>
      </c>
      <c r="C200" s="72"/>
      <c r="D200" s="146"/>
      <c r="E200" s="146"/>
      <c r="F200" s="72"/>
      <c r="G200" s="72"/>
      <c r="H200" s="72"/>
      <c r="I200" s="147" t="s">
        <v>405</v>
      </c>
      <c r="J200" s="148"/>
      <c r="K200" s="225">
        <v>2000000</v>
      </c>
      <c r="L200" s="31" t="str">
        <f t="shared" si="2"/>
        <v>-</v>
      </c>
    </row>
    <row r="201" spans="1:12" ht="32.25" thickBot="1" x14ac:dyDescent="0.3">
      <c r="A201" s="114" t="s">
        <v>406</v>
      </c>
      <c r="B201" s="115" t="s">
        <v>170</v>
      </c>
      <c r="C201" s="116" t="s">
        <v>1</v>
      </c>
      <c r="D201" s="135" t="s">
        <v>544</v>
      </c>
      <c r="E201" s="135"/>
      <c r="F201" s="116"/>
      <c r="G201" s="116"/>
      <c r="H201" s="116"/>
      <c r="I201" s="119"/>
      <c r="J201" s="120"/>
      <c r="K201" s="230">
        <f t="shared" ref="K201:K206" si="3">199999.91/1000</f>
        <v>199.99991</v>
      </c>
      <c r="L201" s="29" t="str">
        <f t="shared" si="2"/>
        <v>-</v>
      </c>
    </row>
    <row r="202" spans="1:12" ht="31.5" x14ac:dyDescent="0.25">
      <c r="A202" s="139" t="s">
        <v>407</v>
      </c>
      <c r="B202" s="60" t="s">
        <v>170</v>
      </c>
      <c r="C202" s="61" t="s">
        <v>1</v>
      </c>
      <c r="D202" s="140" t="s">
        <v>544</v>
      </c>
      <c r="E202" s="140" t="s">
        <v>544</v>
      </c>
      <c r="F202" s="61"/>
      <c r="G202" s="61"/>
      <c r="H202" s="61"/>
      <c r="I202" s="141"/>
      <c r="J202" s="142"/>
      <c r="K202" s="218">
        <f t="shared" si="3"/>
        <v>199.99991</v>
      </c>
      <c r="L202" s="29" t="str">
        <f t="shared" si="2"/>
        <v>-</v>
      </c>
    </row>
    <row r="203" spans="1:12" ht="31.5" x14ac:dyDescent="0.25">
      <c r="A203" s="70" t="s">
        <v>407</v>
      </c>
      <c r="B203" s="60" t="s">
        <v>170</v>
      </c>
      <c r="C203" s="61" t="s">
        <v>1</v>
      </c>
      <c r="D203" s="140" t="s">
        <v>544</v>
      </c>
      <c r="E203" s="140" t="s">
        <v>544</v>
      </c>
      <c r="F203" s="61" t="s">
        <v>630</v>
      </c>
      <c r="G203" s="61"/>
      <c r="H203" s="61"/>
      <c r="I203" s="141"/>
      <c r="J203" s="142"/>
      <c r="K203" s="218">
        <f t="shared" si="3"/>
        <v>199.99991</v>
      </c>
      <c r="L203" s="29" t="str">
        <f t="shared" si="2"/>
        <v>-</v>
      </c>
    </row>
    <row r="204" spans="1:12" ht="47.25" x14ac:dyDescent="0.25">
      <c r="A204" s="139" t="s">
        <v>409</v>
      </c>
      <c r="B204" s="65" t="s">
        <v>170</v>
      </c>
      <c r="C204" s="61" t="s">
        <v>1</v>
      </c>
      <c r="D204" s="140" t="s">
        <v>544</v>
      </c>
      <c r="E204" s="140" t="s">
        <v>544</v>
      </c>
      <c r="F204" s="66" t="s">
        <v>631</v>
      </c>
      <c r="G204" s="66"/>
      <c r="H204" s="66"/>
      <c r="I204" s="144"/>
      <c r="J204" s="145"/>
      <c r="K204" s="224">
        <f t="shared" si="3"/>
        <v>199.99991</v>
      </c>
      <c r="L204" s="31" t="str">
        <f t="shared" si="2"/>
        <v>-</v>
      </c>
    </row>
    <row r="205" spans="1:12" ht="31.5" x14ac:dyDescent="0.25">
      <c r="A205" s="70" t="s">
        <v>411</v>
      </c>
      <c r="B205" s="65" t="s">
        <v>170</v>
      </c>
      <c r="C205" s="61" t="s">
        <v>1</v>
      </c>
      <c r="D205" s="140" t="s">
        <v>544</v>
      </c>
      <c r="E205" s="140" t="s">
        <v>544</v>
      </c>
      <c r="F205" s="66" t="s">
        <v>632</v>
      </c>
      <c r="G205" s="66"/>
      <c r="H205" s="66"/>
      <c r="I205" s="144"/>
      <c r="J205" s="145"/>
      <c r="K205" s="224">
        <f t="shared" si="3"/>
        <v>199.99991</v>
      </c>
      <c r="L205" s="31" t="str">
        <f t="shared" si="2"/>
        <v>-</v>
      </c>
    </row>
    <row r="206" spans="1:12" ht="48" thickBot="1" x14ac:dyDescent="0.3">
      <c r="A206" s="59" t="s">
        <v>196</v>
      </c>
      <c r="B206" s="65" t="s">
        <v>170</v>
      </c>
      <c r="C206" s="61" t="s">
        <v>1</v>
      </c>
      <c r="D206" s="140" t="s">
        <v>544</v>
      </c>
      <c r="E206" s="140" t="s">
        <v>544</v>
      </c>
      <c r="F206" s="66" t="s">
        <v>632</v>
      </c>
      <c r="G206" s="66"/>
      <c r="H206" s="66"/>
      <c r="I206" s="144" t="s">
        <v>571</v>
      </c>
      <c r="J206" s="145"/>
      <c r="K206" s="224">
        <f t="shared" si="3"/>
        <v>199.99991</v>
      </c>
      <c r="L206" s="31" t="str">
        <f t="shared" si="2"/>
        <v>-</v>
      </c>
    </row>
    <row r="207" spans="1:12" ht="47.25" hidden="1" x14ac:dyDescent="0.25">
      <c r="A207" s="69" t="s">
        <v>200</v>
      </c>
      <c r="B207" s="71" t="s">
        <v>170</v>
      </c>
      <c r="C207" s="72"/>
      <c r="D207" s="146"/>
      <c r="E207" s="146"/>
      <c r="F207" s="72"/>
      <c r="G207" s="72"/>
      <c r="H207" s="72"/>
      <c r="I207" s="147" t="s">
        <v>414</v>
      </c>
      <c r="J207" s="148"/>
      <c r="K207" s="225">
        <v>199999.91</v>
      </c>
      <c r="L207" s="31" t="str">
        <f t="shared" si="2"/>
        <v>-</v>
      </c>
    </row>
    <row r="208" spans="1:12" ht="32.25" thickBot="1" x14ac:dyDescent="0.3">
      <c r="A208" s="114" t="s">
        <v>415</v>
      </c>
      <c r="B208" s="115" t="s">
        <v>170</v>
      </c>
      <c r="C208" s="116" t="s">
        <v>1</v>
      </c>
      <c r="D208" s="135" t="s">
        <v>550</v>
      </c>
      <c r="E208" s="135"/>
      <c r="F208" s="116"/>
      <c r="G208" s="116"/>
      <c r="H208" s="116"/>
      <c r="I208" s="119"/>
      <c r="J208" s="120"/>
      <c r="K208" s="230">
        <f>9813659.82/1000</f>
        <v>9813.6598200000008</v>
      </c>
      <c r="L208" s="29" t="str">
        <f t="shared" si="2"/>
        <v>-</v>
      </c>
    </row>
    <row r="209" spans="1:12" ht="32.25" thickBot="1" x14ac:dyDescent="0.3">
      <c r="A209" s="54" t="s">
        <v>416</v>
      </c>
      <c r="B209" s="55" t="s">
        <v>170</v>
      </c>
      <c r="C209" s="56" t="s">
        <v>1</v>
      </c>
      <c r="D209" s="136" t="s">
        <v>550</v>
      </c>
      <c r="E209" s="136" t="s">
        <v>538</v>
      </c>
      <c r="F209" s="56"/>
      <c r="G209" s="56"/>
      <c r="H209" s="56"/>
      <c r="I209" s="137"/>
      <c r="J209" s="138"/>
      <c r="K209" s="215">
        <f>9072668.42/1000</f>
        <v>9072.66842</v>
      </c>
      <c r="L209" s="29" t="str">
        <f t="shared" si="2"/>
        <v>-</v>
      </c>
    </row>
    <row r="210" spans="1:12" ht="31.5" x14ac:dyDescent="0.25">
      <c r="A210" s="85" t="s">
        <v>416</v>
      </c>
      <c r="B210" s="60" t="s">
        <v>170</v>
      </c>
      <c r="C210" s="61" t="s">
        <v>1</v>
      </c>
      <c r="D210" s="140" t="s">
        <v>550</v>
      </c>
      <c r="E210" s="140" t="s">
        <v>538</v>
      </c>
      <c r="F210" s="61" t="s">
        <v>633</v>
      </c>
      <c r="G210" s="61"/>
      <c r="H210" s="61"/>
      <c r="I210" s="141"/>
      <c r="J210" s="142"/>
      <c r="K210" s="218">
        <f>7880668.42/1000</f>
        <v>7880.66842</v>
      </c>
      <c r="L210" s="29" t="str">
        <f t="shared" si="2"/>
        <v>-</v>
      </c>
    </row>
    <row r="211" spans="1:12" ht="31.5" x14ac:dyDescent="0.25">
      <c r="A211" s="139" t="s">
        <v>418</v>
      </c>
      <c r="B211" s="65" t="s">
        <v>170</v>
      </c>
      <c r="C211" s="61" t="s">
        <v>1</v>
      </c>
      <c r="D211" s="140" t="s">
        <v>550</v>
      </c>
      <c r="E211" s="140" t="s">
        <v>538</v>
      </c>
      <c r="F211" s="66" t="s">
        <v>634</v>
      </c>
      <c r="G211" s="66"/>
      <c r="H211" s="66"/>
      <c r="I211" s="144"/>
      <c r="J211" s="145"/>
      <c r="K211" s="224">
        <f>7880668.42/1000</f>
        <v>7880.66842</v>
      </c>
      <c r="L211" s="31" t="str">
        <f t="shared" si="2"/>
        <v>-</v>
      </c>
    </row>
    <row r="212" spans="1:12" ht="31.5" x14ac:dyDescent="0.25">
      <c r="A212" s="70" t="s">
        <v>420</v>
      </c>
      <c r="B212" s="65" t="s">
        <v>170</v>
      </c>
      <c r="C212" s="61" t="s">
        <v>1</v>
      </c>
      <c r="D212" s="140" t="s">
        <v>550</v>
      </c>
      <c r="E212" s="140" t="s">
        <v>538</v>
      </c>
      <c r="F212" s="66" t="s">
        <v>635</v>
      </c>
      <c r="G212" s="66"/>
      <c r="H212" s="66"/>
      <c r="I212" s="144"/>
      <c r="J212" s="145"/>
      <c r="K212" s="224">
        <f>7880668.42/1000</f>
        <v>7880.66842</v>
      </c>
      <c r="L212" s="31" t="str">
        <f t="shared" ref="L212:L255" si="4">IF(OR(J212="-",IF(K212="-",0,K212)&gt;=IF(J212="-",0,J212)),"-",IF(J212="-",0,J212)-IF(K212="-",0,K212))</f>
        <v>-</v>
      </c>
    </row>
    <row r="213" spans="1:12" ht="31.5" x14ac:dyDescent="0.25">
      <c r="A213" s="59" t="s">
        <v>422</v>
      </c>
      <c r="B213" s="65" t="s">
        <v>170</v>
      </c>
      <c r="C213" s="61" t="s">
        <v>1</v>
      </c>
      <c r="D213" s="140" t="s">
        <v>550</v>
      </c>
      <c r="E213" s="140" t="s">
        <v>538</v>
      </c>
      <c r="F213" s="66" t="s">
        <v>635</v>
      </c>
      <c r="G213" s="66"/>
      <c r="H213" s="66"/>
      <c r="I213" s="144" t="s">
        <v>636</v>
      </c>
      <c r="J213" s="145"/>
      <c r="K213" s="224">
        <f>5040315.01/1000</f>
        <v>5040.3150099999993</v>
      </c>
      <c r="L213" s="31" t="str">
        <f t="shared" si="4"/>
        <v>-</v>
      </c>
    </row>
    <row r="214" spans="1:12" ht="31.5" hidden="1" x14ac:dyDescent="0.25">
      <c r="A214" s="64" t="s">
        <v>424</v>
      </c>
      <c r="B214" s="65" t="s">
        <v>170</v>
      </c>
      <c r="C214" s="66"/>
      <c r="D214" s="143"/>
      <c r="E214" s="143"/>
      <c r="F214" s="66"/>
      <c r="G214" s="66"/>
      <c r="H214" s="66"/>
      <c r="I214" s="144" t="s">
        <v>425</v>
      </c>
      <c r="J214" s="145"/>
      <c r="K214" s="224">
        <v>3871779.36</v>
      </c>
      <c r="L214" s="31" t="str">
        <f t="shared" si="4"/>
        <v>-</v>
      </c>
    </row>
    <row r="215" spans="1:12" ht="31.5" hidden="1" x14ac:dyDescent="0.25">
      <c r="A215" s="64" t="s">
        <v>426</v>
      </c>
      <c r="B215" s="65" t="s">
        <v>170</v>
      </c>
      <c r="C215" s="66"/>
      <c r="D215" s="143"/>
      <c r="E215" s="143"/>
      <c r="F215" s="66"/>
      <c r="G215" s="66"/>
      <c r="H215" s="66"/>
      <c r="I215" s="144" t="s">
        <v>427</v>
      </c>
      <c r="J215" s="145"/>
      <c r="K215" s="224">
        <v>153.33000000000001</v>
      </c>
      <c r="L215" s="31" t="str">
        <f t="shared" si="4"/>
        <v>-</v>
      </c>
    </row>
    <row r="216" spans="1:12" ht="63" hidden="1" x14ac:dyDescent="0.25">
      <c r="A216" s="69" t="s">
        <v>428</v>
      </c>
      <c r="B216" s="65" t="s">
        <v>170</v>
      </c>
      <c r="C216" s="66"/>
      <c r="D216" s="143"/>
      <c r="E216" s="143"/>
      <c r="F216" s="66"/>
      <c r="G216" s="66"/>
      <c r="H216" s="66"/>
      <c r="I216" s="144" t="s">
        <v>429</v>
      </c>
      <c r="J216" s="145"/>
      <c r="K216" s="224">
        <v>1168382.32</v>
      </c>
      <c r="L216" s="31" t="str">
        <f t="shared" si="4"/>
        <v>-</v>
      </c>
    </row>
    <row r="217" spans="1:12" ht="47.25" x14ac:dyDescent="0.25">
      <c r="A217" s="70" t="s">
        <v>196</v>
      </c>
      <c r="B217" s="65" t="s">
        <v>170</v>
      </c>
      <c r="C217" s="61" t="s">
        <v>1</v>
      </c>
      <c r="D217" s="140" t="s">
        <v>550</v>
      </c>
      <c r="E217" s="140" t="s">
        <v>538</v>
      </c>
      <c r="F217" s="66" t="s">
        <v>635</v>
      </c>
      <c r="G217" s="66"/>
      <c r="H217" s="66"/>
      <c r="I217" s="144" t="s">
        <v>571</v>
      </c>
      <c r="J217" s="145"/>
      <c r="K217" s="224">
        <f>2840353.41/1000</f>
        <v>2840.3534100000002</v>
      </c>
      <c r="L217" s="31" t="str">
        <f t="shared" si="4"/>
        <v>-</v>
      </c>
    </row>
    <row r="218" spans="1:12" ht="47.25" hidden="1" x14ac:dyDescent="0.25">
      <c r="A218" s="59" t="s">
        <v>198</v>
      </c>
      <c r="B218" s="65" t="s">
        <v>170</v>
      </c>
      <c r="C218" s="66"/>
      <c r="D218" s="143"/>
      <c r="E218" s="143"/>
      <c r="F218" s="66"/>
      <c r="G218" s="66"/>
      <c r="H218" s="66"/>
      <c r="I218" s="144" t="s">
        <v>431</v>
      </c>
      <c r="J218" s="145"/>
      <c r="K218" s="224">
        <v>35570</v>
      </c>
      <c r="L218" s="31" t="str">
        <f t="shared" si="4"/>
        <v>-</v>
      </c>
    </row>
    <row r="219" spans="1:12" ht="47.25" hidden="1" x14ac:dyDescent="0.25">
      <c r="A219" s="64" t="s">
        <v>200</v>
      </c>
      <c r="B219" s="65" t="s">
        <v>170</v>
      </c>
      <c r="C219" s="66"/>
      <c r="D219" s="143"/>
      <c r="E219" s="143"/>
      <c r="F219" s="66"/>
      <c r="G219" s="66"/>
      <c r="H219" s="66"/>
      <c r="I219" s="144" t="s">
        <v>432</v>
      </c>
      <c r="J219" s="145"/>
      <c r="K219" s="224">
        <v>2804783.41</v>
      </c>
      <c r="L219" s="31" t="str">
        <f t="shared" si="4"/>
        <v>-</v>
      </c>
    </row>
    <row r="220" spans="1:12" ht="31.5" hidden="1" x14ac:dyDescent="0.25">
      <c r="A220" s="64" t="s">
        <v>202</v>
      </c>
      <c r="B220" s="65" t="s">
        <v>170</v>
      </c>
      <c r="C220" s="61" t="s">
        <v>1</v>
      </c>
      <c r="D220" s="140" t="s">
        <v>550</v>
      </c>
      <c r="E220" s="140" t="s">
        <v>538</v>
      </c>
      <c r="F220" s="66" t="s">
        <v>635</v>
      </c>
      <c r="G220" s="66"/>
      <c r="H220" s="66"/>
      <c r="I220" s="144" t="s">
        <v>572</v>
      </c>
      <c r="J220" s="145"/>
      <c r="K220" s="224" t="s">
        <v>21</v>
      </c>
      <c r="L220" s="31" t="str">
        <f t="shared" si="4"/>
        <v>-</v>
      </c>
    </row>
    <row r="221" spans="1:12" ht="31.5" hidden="1" x14ac:dyDescent="0.25">
      <c r="A221" s="69" t="s">
        <v>204</v>
      </c>
      <c r="B221" s="65" t="s">
        <v>170</v>
      </c>
      <c r="C221" s="66"/>
      <c r="D221" s="143"/>
      <c r="E221" s="143"/>
      <c r="F221" s="66"/>
      <c r="G221" s="66"/>
      <c r="H221" s="66"/>
      <c r="I221" s="144" t="s">
        <v>434</v>
      </c>
      <c r="J221" s="145"/>
      <c r="K221" s="224" t="s">
        <v>21</v>
      </c>
      <c r="L221" s="31" t="str">
        <f t="shared" si="4"/>
        <v>-</v>
      </c>
    </row>
    <row r="222" spans="1:12" ht="31.5" x14ac:dyDescent="0.25">
      <c r="A222" s="70" t="s">
        <v>416</v>
      </c>
      <c r="B222" s="60" t="s">
        <v>170</v>
      </c>
      <c r="C222" s="61" t="s">
        <v>1</v>
      </c>
      <c r="D222" s="140" t="s">
        <v>550</v>
      </c>
      <c r="E222" s="140" t="s">
        <v>538</v>
      </c>
      <c r="F222" s="61" t="s">
        <v>592</v>
      </c>
      <c r="G222" s="61"/>
      <c r="H222" s="61"/>
      <c r="I222" s="141"/>
      <c r="J222" s="142"/>
      <c r="K222" s="218">
        <f>1192000/1000</f>
        <v>1192</v>
      </c>
      <c r="L222" s="29" t="str">
        <f t="shared" si="4"/>
        <v>-</v>
      </c>
    </row>
    <row r="223" spans="1:12" ht="31.5" x14ac:dyDescent="0.25">
      <c r="A223" s="139" t="s">
        <v>178</v>
      </c>
      <c r="B223" s="65" t="s">
        <v>170</v>
      </c>
      <c r="C223" s="61" t="s">
        <v>1</v>
      </c>
      <c r="D223" s="140" t="s">
        <v>550</v>
      </c>
      <c r="E223" s="140" t="s">
        <v>538</v>
      </c>
      <c r="F223" s="66" t="s">
        <v>593</v>
      </c>
      <c r="G223" s="66"/>
      <c r="H223" s="66"/>
      <c r="I223" s="144"/>
      <c r="J223" s="145"/>
      <c r="K223" s="224">
        <f>1192000/1000</f>
        <v>1192</v>
      </c>
      <c r="L223" s="31" t="str">
        <f t="shared" si="4"/>
        <v>-</v>
      </c>
    </row>
    <row r="224" spans="1:12" ht="31.5" x14ac:dyDescent="0.25">
      <c r="A224" s="70" t="s">
        <v>437</v>
      </c>
      <c r="B224" s="65" t="s">
        <v>170</v>
      </c>
      <c r="C224" s="61" t="s">
        <v>1</v>
      </c>
      <c r="D224" s="140" t="s">
        <v>550</v>
      </c>
      <c r="E224" s="140" t="s">
        <v>538</v>
      </c>
      <c r="F224" s="66" t="s">
        <v>637</v>
      </c>
      <c r="G224" s="66"/>
      <c r="H224" s="66"/>
      <c r="I224" s="144"/>
      <c r="J224" s="145"/>
      <c r="K224" s="224">
        <f>685000/1000</f>
        <v>685</v>
      </c>
      <c r="L224" s="31" t="str">
        <f t="shared" si="4"/>
        <v>-</v>
      </c>
    </row>
    <row r="225" spans="1:12" ht="47.25" x14ac:dyDescent="0.25">
      <c r="A225" s="59" t="s">
        <v>196</v>
      </c>
      <c r="B225" s="65" t="s">
        <v>170</v>
      </c>
      <c r="C225" s="61" t="s">
        <v>1</v>
      </c>
      <c r="D225" s="140" t="s">
        <v>550</v>
      </c>
      <c r="E225" s="140" t="s">
        <v>538</v>
      </c>
      <c r="F225" s="66" t="s">
        <v>637</v>
      </c>
      <c r="G225" s="66"/>
      <c r="H225" s="66"/>
      <c r="I225" s="144" t="s">
        <v>571</v>
      </c>
      <c r="J225" s="145"/>
      <c r="K225" s="224">
        <f>685000/1000</f>
        <v>685</v>
      </c>
      <c r="L225" s="31" t="str">
        <f t="shared" si="4"/>
        <v>-</v>
      </c>
    </row>
    <row r="226" spans="1:12" ht="47.25" hidden="1" x14ac:dyDescent="0.25">
      <c r="A226" s="69" t="s">
        <v>200</v>
      </c>
      <c r="B226" s="65" t="s">
        <v>170</v>
      </c>
      <c r="C226" s="66"/>
      <c r="D226" s="143"/>
      <c r="E226" s="143"/>
      <c r="F226" s="66"/>
      <c r="G226" s="66"/>
      <c r="H226" s="66"/>
      <c r="I226" s="144" t="s">
        <v>440</v>
      </c>
      <c r="J226" s="145"/>
      <c r="K226" s="224">
        <v>685000</v>
      </c>
      <c r="L226" s="31" t="str">
        <f t="shared" si="4"/>
        <v>-</v>
      </c>
    </row>
    <row r="227" spans="1:12" ht="63" x14ac:dyDescent="0.25">
      <c r="A227" s="70" t="s">
        <v>441</v>
      </c>
      <c r="B227" s="65" t="s">
        <v>170</v>
      </c>
      <c r="C227" s="61" t="s">
        <v>1</v>
      </c>
      <c r="D227" s="140" t="s">
        <v>550</v>
      </c>
      <c r="E227" s="140" t="s">
        <v>538</v>
      </c>
      <c r="F227" s="66" t="s">
        <v>638</v>
      </c>
      <c r="G227" s="66"/>
      <c r="H227" s="66"/>
      <c r="I227" s="144"/>
      <c r="J227" s="145"/>
      <c r="K227" s="224">
        <f>507000/1000</f>
        <v>507</v>
      </c>
      <c r="L227" s="31" t="str">
        <f t="shared" si="4"/>
        <v>-</v>
      </c>
    </row>
    <row r="228" spans="1:12" ht="32.25" thickBot="1" x14ac:dyDescent="0.3">
      <c r="A228" s="59" t="s">
        <v>422</v>
      </c>
      <c r="B228" s="65" t="s">
        <v>170</v>
      </c>
      <c r="C228" s="61" t="s">
        <v>1</v>
      </c>
      <c r="D228" s="140" t="s">
        <v>550</v>
      </c>
      <c r="E228" s="140" t="s">
        <v>538</v>
      </c>
      <c r="F228" s="66" t="s">
        <v>638</v>
      </c>
      <c r="G228" s="66"/>
      <c r="H228" s="66"/>
      <c r="I228" s="144" t="s">
        <v>636</v>
      </c>
      <c r="J228" s="145"/>
      <c r="K228" s="224">
        <f>507000/1000</f>
        <v>507</v>
      </c>
      <c r="L228" s="31" t="str">
        <f t="shared" si="4"/>
        <v>-</v>
      </c>
    </row>
    <row r="229" spans="1:12" ht="31.5" hidden="1" x14ac:dyDescent="0.25">
      <c r="A229" s="64" t="s">
        <v>424</v>
      </c>
      <c r="B229" s="65" t="s">
        <v>170</v>
      </c>
      <c r="C229" s="66"/>
      <c r="D229" s="143"/>
      <c r="E229" s="143"/>
      <c r="F229" s="66"/>
      <c r="G229" s="66"/>
      <c r="H229" s="66"/>
      <c r="I229" s="144" t="s">
        <v>444</v>
      </c>
      <c r="J229" s="145"/>
      <c r="K229" s="224">
        <v>389400.49</v>
      </c>
      <c r="L229" s="31" t="str">
        <f t="shared" si="4"/>
        <v>-</v>
      </c>
    </row>
    <row r="230" spans="1:12" ht="63" hidden="1" x14ac:dyDescent="0.25">
      <c r="A230" s="69" t="s">
        <v>428</v>
      </c>
      <c r="B230" s="71" t="s">
        <v>170</v>
      </c>
      <c r="C230" s="72"/>
      <c r="D230" s="146"/>
      <c r="E230" s="146"/>
      <c r="F230" s="72"/>
      <c r="G230" s="72"/>
      <c r="H230" s="72"/>
      <c r="I230" s="147" t="s">
        <v>445</v>
      </c>
      <c r="J230" s="148"/>
      <c r="K230" s="225">
        <v>117599.51</v>
      </c>
      <c r="L230" s="31" t="str">
        <f t="shared" si="4"/>
        <v>-</v>
      </c>
    </row>
    <row r="231" spans="1:12" ht="14.25" customHeight="1" thickBot="1" x14ac:dyDescent="0.3">
      <c r="A231" s="54" t="s">
        <v>446</v>
      </c>
      <c r="B231" s="55" t="s">
        <v>170</v>
      </c>
      <c r="C231" s="56" t="s">
        <v>1</v>
      </c>
      <c r="D231" s="136" t="s">
        <v>550</v>
      </c>
      <c r="E231" s="136" t="s">
        <v>542</v>
      </c>
      <c r="F231" s="56"/>
      <c r="G231" s="56"/>
      <c r="H231" s="56"/>
      <c r="I231" s="137"/>
      <c r="J231" s="138"/>
      <c r="K231" s="215">
        <f>740991.4/1000</f>
        <v>740.9914</v>
      </c>
      <c r="L231" s="29" t="str">
        <f t="shared" si="4"/>
        <v>-</v>
      </c>
    </row>
    <row r="232" spans="1:12" ht="31.5" x14ac:dyDescent="0.25">
      <c r="A232" s="139" t="s">
        <v>446</v>
      </c>
      <c r="B232" s="60" t="s">
        <v>170</v>
      </c>
      <c r="C232" s="61" t="s">
        <v>1</v>
      </c>
      <c r="D232" s="140" t="s">
        <v>550</v>
      </c>
      <c r="E232" s="140" t="s">
        <v>542</v>
      </c>
      <c r="F232" s="61" t="s">
        <v>630</v>
      </c>
      <c r="G232" s="61"/>
      <c r="H232" s="61"/>
      <c r="I232" s="141"/>
      <c r="J232" s="142"/>
      <c r="K232" s="218">
        <f>740991.4/1000</f>
        <v>740.9914</v>
      </c>
      <c r="L232" s="29" t="str">
        <f t="shared" si="4"/>
        <v>-</v>
      </c>
    </row>
    <row r="233" spans="1:12" ht="31.5" x14ac:dyDescent="0.25">
      <c r="A233" s="70" t="s">
        <v>448</v>
      </c>
      <c r="B233" s="65" t="s">
        <v>170</v>
      </c>
      <c r="C233" s="61" t="s">
        <v>1</v>
      </c>
      <c r="D233" s="140" t="s">
        <v>550</v>
      </c>
      <c r="E233" s="140" t="s">
        <v>542</v>
      </c>
      <c r="F233" s="66" t="s">
        <v>639</v>
      </c>
      <c r="G233" s="66"/>
      <c r="H233" s="66"/>
      <c r="I233" s="144"/>
      <c r="J233" s="145"/>
      <c r="K233" s="224">
        <f>740991.4/1000</f>
        <v>740.9914</v>
      </c>
      <c r="L233" s="31" t="str">
        <f t="shared" si="4"/>
        <v>-</v>
      </c>
    </row>
    <row r="234" spans="1:12" ht="31.5" x14ac:dyDescent="0.25">
      <c r="A234" s="70" t="s">
        <v>450</v>
      </c>
      <c r="B234" s="65" t="s">
        <v>170</v>
      </c>
      <c r="C234" s="61" t="s">
        <v>1</v>
      </c>
      <c r="D234" s="140" t="s">
        <v>550</v>
      </c>
      <c r="E234" s="140" t="s">
        <v>542</v>
      </c>
      <c r="F234" s="66" t="s">
        <v>640</v>
      </c>
      <c r="G234" s="66"/>
      <c r="H234" s="66"/>
      <c r="I234" s="144"/>
      <c r="J234" s="145"/>
      <c r="K234" s="224">
        <f>740991.4/1000</f>
        <v>740.9914</v>
      </c>
      <c r="L234" s="31" t="str">
        <f t="shared" si="4"/>
        <v>-</v>
      </c>
    </row>
    <row r="235" spans="1:12" ht="48" thickBot="1" x14ac:dyDescent="0.3">
      <c r="A235" s="59" t="s">
        <v>196</v>
      </c>
      <c r="B235" s="65" t="s">
        <v>170</v>
      </c>
      <c r="C235" s="61" t="s">
        <v>1</v>
      </c>
      <c r="D235" s="140" t="s">
        <v>550</v>
      </c>
      <c r="E235" s="140" t="s">
        <v>542</v>
      </c>
      <c r="F235" s="66" t="s">
        <v>640</v>
      </c>
      <c r="G235" s="66"/>
      <c r="H235" s="66"/>
      <c r="I235" s="144" t="s">
        <v>571</v>
      </c>
      <c r="J235" s="145"/>
      <c r="K235" s="224">
        <f>740991.4/1000</f>
        <v>740.9914</v>
      </c>
      <c r="L235" s="31" t="str">
        <f t="shared" si="4"/>
        <v>-</v>
      </c>
    </row>
    <row r="236" spans="1:12" ht="47.25" hidden="1" x14ac:dyDescent="0.25">
      <c r="A236" s="69" t="s">
        <v>200</v>
      </c>
      <c r="B236" s="71" t="s">
        <v>170</v>
      </c>
      <c r="C236" s="72"/>
      <c r="D236" s="146"/>
      <c r="E236" s="146"/>
      <c r="F236" s="72"/>
      <c r="G236" s="72"/>
      <c r="H236" s="72"/>
      <c r="I236" s="147" t="s">
        <v>453</v>
      </c>
      <c r="J236" s="148"/>
      <c r="K236" s="225">
        <v>740991.4</v>
      </c>
      <c r="L236" s="31" t="str">
        <f t="shared" si="4"/>
        <v>-</v>
      </c>
    </row>
    <row r="237" spans="1:12" ht="32.25" thickBot="1" x14ac:dyDescent="0.3">
      <c r="A237" s="114" t="s">
        <v>454</v>
      </c>
      <c r="B237" s="115" t="s">
        <v>170</v>
      </c>
      <c r="C237" s="116" t="s">
        <v>1</v>
      </c>
      <c r="D237" s="135" t="s">
        <v>551</v>
      </c>
      <c r="E237" s="135"/>
      <c r="F237" s="116"/>
      <c r="G237" s="116"/>
      <c r="H237" s="116"/>
      <c r="I237" s="119"/>
      <c r="J237" s="120"/>
      <c r="K237" s="230">
        <f t="shared" ref="K237:K242" si="5">698491.4/1000</f>
        <v>698.4914</v>
      </c>
      <c r="L237" s="29" t="str">
        <f t="shared" si="4"/>
        <v>-</v>
      </c>
    </row>
    <row r="238" spans="1:12" ht="31.5" x14ac:dyDescent="0.25">
      <c r="A238" s="139" t="s">
        <v>455</v>
      </c>
      <c r="B238" s="60" t="s">
        <v>170</v>
      </c>
      <c r="C238" s="61" t="s">
        <v>1</v>
      </c>
      <c r="D238" s="140" t="s">
        <v>551</v>
      </c>
      <c r="E238" s="140" t="s">
        <v>538</v>
      </c>
      <c r="F238" s="61"/>
      <c r="G238" s="61"/>
      <c r="H238" s="61"/>
      <c r="I238" s="141"/>
      <c r="J238" s="142"/>
      <c r="K238" s="218">
        <f t="shared" si="5"/>
        <v>698.4914</v>
      </c>
      <c r="L238" s="29" t="str">
        <f t="shared" si="4"/>
        <v>-</v>
      </c>
    </row>
    <row r="239" spans="1:12" ht="31.5" x14ac:dyDescent="0.25">
      <c r="A239" s="70" t="s">
        <v>455</v>
      </c>
      <c r="B239" s="60" t="s">
        <v>170</v>
      </c>
      <c r="C239" s="61" t="s">
        <v>1</v>
      </c>
      <c r="D239" s="140" t="s">
        <v>551</v>
      </c>
      <c r="E239" s="140" t="s">
        <v>538</v>
      </c>
      <c r="F239" s="61" t="s">
        <v>592</v>
      </c>
      <c r="G239" s="61"/>
      <c r="H239" s="61"/>
      <c r="I239" s="141"/>
      <c r="J239" s="142"/>
      <c r="K239" s="218">
        <f t="shared" si="5"/>
        <v>698.4914</v>
      </c>
      <c r="L239" s="29" t="str">
        <f t="shared" si="4"/>
        <v>-</v>
      </c>
    </row>
    <row r="240" spans="1:12" ht="31.5" x14ac:dyDescent="0.25">
      <c r="A240" s="139" t="s">
        <v>178</v>
      </c>
      <c r="B240" s="65" t="s">
        <v>170</v>
      </c>
      <c r="C240" s="61" t="s">
        <v>1</v>
      </c>
      <c r="D240" s="140" t="s">
        <v>551</v>
      </c>
      <c r="E240" s="140" t="s">
        <v>538</v>
      </c>
      <c r="F240" s="66" t="s">
        <v>593</v>
      </c>
      <c r="G240" s="66"/>
      <c r="H240" s="66"/>
      <c r="I240" s="144"/>
      <c r="J240" s="145"/>
      <c r="K240" s="224">
        <f t="shared" si="5"/>
        <v>698.4914</v>
      </c>
      <c r="L240" s="31" t="str">
        <f t="shared" si="4"/>
        <v>-</v>
      </c>
    </row>
    <row r="241" spans="1:12" ht="31.5" x14ac:dyDescent="0.25">
      <c r="A241" s="70" t="s">
        <v>458</v>
      </c>
      <c r="B241" s="65" t="s">
        <v>170</v>
      </c>
      <c r="C241" s="61" t="s">
        <v>1</v>
      </c>
      <c r="D241" s="140" t="s">
        <v>551</v>
      </c>
      <c r="E241" s="140" t="s">
        <v>538</v>
      </c>
      <c r="F241" s="66" t="s">
        <v>642</v>
      </c>
      <c r="G241" s="66"/>
      <c r="H241" s="66"/>
      <c r="I241" s="144"/>
      <c r="J241" s="145"/>
      <c r="K241" s="224">
        <f t="shared" si="5"/>
        <v>698.4914</v>
      </c>
      <c r="L241" s="31" t="str">
        <f t="shared" si="4"/>
        <v>-</v>
      </c>
    </row>
    <row r="242" spans="1:12" ht="48" thickBot="1" x14ac:dyDescent="0.3">
      <c r="A242" s="59" t="s">
        <v>460</v>
      </c>
      <c r="B242" s="65" t="s">
        <v>170</v>
      </c>
      <c r="C242" s="61" t="s">
        <v>1</v>
      </c>
      <c r="D242" s="140" t="s">
        <v>551</v>
      </c>
      <c r="E242" s="140" t="s">
        <v>538</v>
      </c>
      <c r="F242" s="66" t="s">
        <v>642</v>
      </c>
      <c r="G242" s="66"/>
      <c r="H242" s="66"/>
      <c r="I242" s="144" t="s">
        <v>643</v>
      </c>
      <c r="J242" s="145"/>
      <c r="K242" s="224">
        <f t="shared" si="5"/>
        <v>698.4914</v>
      </c>
      <c r="L242" s="31" t="str">
        <f t="shared" si="4"/>
        <v>-</v>
      </c>
    </row>
    <row r="243" spans="1:12" ht="47.25" hidden="1" x14ac:dyDescent="0.25">
      <c r="A243" s="69" t="s">
        <v>462</v>
      </c>
      <c r="B243" s="71" t="s">
        <v>170</v>
      </c>
      <c r="C243" s="72"/>
      <c r="D243" s="146"/>
      <c r="E243" s="146"/>
      <c r="F243" s="72"/>
      <c r="G243" s="72"/>
      <c r="H243" s="72"/>
      <c r="I243" s="147" t="s">
        <v>463</v>
      </c>
      <c r="J243" s="148"/>
      <c r="K243" s="225">
        <v>698491.4</v>
      </c>
      <c r="L243" s="31" t="str">
        <f t="shared" si="4"/>
        <v>-</v>
      </c>
    </row>
    <row r="244" spans="1:12" ht="32.25" thickBot="1" x14ac:dyDescent="0.3">
      <c r="A244" s="114" t="s">
        <v>464</v>
      </c>
      <c r="B244" s="115" t="s">
        <v>170</v>
      </c>
      <c r="C244" s="116" t="s">
        <v>1</v>
      </c>
      <c r="D244" s="135" t="s">
        <v>552</v>
      </c>
      <c r="E244" s="135"/>
      <c r="F244" s="116"/>
      <c r="G244" s="116"/>
      <c r="H244" s="116"/>
      <c r="I244" s="119"/>
      <c r="J244" s="120"/>
      <c r="K244" s="230">
        <f>971207.8/1000</f>
        <v>971.20780000000002</v>
      </c>
      <c r="L244" s="29" t="str">
        <f t="shared" si="4"/>
        <v>-</v>
      </c>
    </row>
    <row r="245" spans="1:12" ht="31.5" x14ac:dyDescent="0.25">
      <c r="A245" s="139" t="s">
        <v>465</v>
      </c>
      <c r="B245" s="60" t="s">
        <v>170</v>
      </c>
      <c r="C245" s="61" t="s">
        <v>1</v>
      </c>
      <c r="D245" s="140" t="s">
        <v>552</v>
      </c>
      <c r="E245" s="140" t="s">
        <v>549</v>
      </c>
      <c r="F245" s="61"/>
      <c r="G245" s="61"/>
      <c r="H245" s="61"/>
      <c r="I245" s="141"/>
      <c r="J245" s="142"/>
      <c r="K245" s="218">
        <f>971207.8/1000</f>
        <v>971.20780000000002</v>
      </c>
      <c r="L245" s="29" t="str">
        <f t="shared" si="4"/>
        <v>-</v>
      </c>
    </row>
    <row r="246" spans="1:12" ht="31.5" x14ac:dyDescent="0.25">
      <c r="A246" s="70" t="s">
        <v>465</v>
      </c>
      <c r="B246" s="60" t="s">
        <v>170</v>
      </c>
      <c r="C246" s="61" t="s">
        <v>1</v>
      </c>
      <c r="D246" s="140" t="s">
        <v>552</v>
      </c>
      <c r="E246" s="140" t="s">
        <v>549</v>
      </c>
      <c r="F246" s="61" t="s">
        <v>644</v>
      </c>
      <c r="G246" s="61"/>
      <c r="H246" s="61"/>
      <c r="I246" s="141"/>
      <c r="J246" s="142"/>
      <c r="K246" s="218">
        <f>167707/1000</f>
        <v>167.70699999999999</v>
      </c>
      <c r="L246" s="29" t="str">
        <f t="shared" si="4"/>
        <v>-</v>
      </c>
    </row>
    <row r="247" spans="1:12" ht="63" x14ac:dyDescent="0.25">
      <c r="A247" s="139" t="s">
        <v>467</v>
      </c>
      <c r="B247" s="65" t="s">
        <v>170</v>
      </c>
      <c r="C247" s="61" t="s">
        <v>1</v>
      </c>
      <c r="D247" s="140" t="s">
        <v>552</v>
      </c>
      <c r="E247" s="140" t="s">
        <v>549</v>
      </c>
      <c r="F247" s="66" t="s">
        <v>645</v>
      </c>
      <c r="G247" s="66"/>
      <c r="H247" s="66"/>
      <c r="I247" s="144"/>
      <c r="J247" s="145"/>
      <c r="K247" s="224">
        <f>167707/1000</f>
        <v>167.70699999999999</v>
      </c>
      <c r="L247" s="31" t="str">
        <f t="shared" si="4"/>
        <v>-</v>
      </c>
    </row>
    <row r="248" spans="1:12" ht="47.25" x14ac:dyDescent="0.25">
      <c r="A248" s="70" t="s">
        <v>469</v>
      </c>
      <c r="B248" s="65" t="s">
        <v>170</v>
      </c>
      <c r="C248" s="61" t="s">
        <v>1</v>
      </c>
      <c r="D248" s="140" t="s">
        <v>552</v>
      </c>
      <c r="E248" s="140" t="s">
        <v>549</v>
      </c>
      <c r="F248" s="66" t="s">
        <v>646</v>
      </c>
      <c r="G248" s="66"/>
      <c r="H248" s="66"/>
      <c r="I248" s="144"/>
      <c r="J248" s="145"/>
      <c r="K248" s="224">
        <f>167707/1000</f>
        <v>167.70699999999999</v>
      </c>
      <c r="L248" s="31" t="str">
        <f t="shared" si="4"/>
        <v>-</v>
      </c>
    </row>
    <row r="249" spans="1:12" ht="47.25" x14ac:dyDescent="0.25">
      <c r="A249" s="59" t="s">
        <v>196</v>
      </c>
      <c r="B249" s="65" t="s">
        <v>170</v>
      </c>
      <c r="C249" s="61" t="s">
        <v>1</v>
      </c>
      <c r="D249" s="140" t="s">
        <v>552</v>
      </c>
      <c r="E249" s="140" t="s">
        <v>549</v>
      </c>
      <c r="F249" s="66" t="s">
        <v>646</v>
      </c>
      <c r="G249" s="66"/>
      <c r="H249" s="66"/>
      <c r="I249" s="144" t="s">
        <v>571</v>
      </c>
      <c r="J249" s="145"/>
      <c r="K249" s="224">
        <f>167707/1000</f>
        <v>167.70699999999999</v>
      </c>
      <c r="L249" s="31" t="str">
        <f t="shared" si="4"/>
        <v>-</v>
      </c>
    </row>
    <row r="250" spans="1:12" ht="47.25" hidden="1" x14ac:dyDescent="0.25">
      <c r="A250" s="69" t="s">
        <v>200</v>
      </c>
      <c r="B250" s="65" t="s">
        <v>170</v>
      </c>
      <c r="C250" s="66"/>
      <c r="D250" s="143"/>
      <c r="E250" s="143"/>
      <c r="F250" s="66"/>
      <c r="G250" s="66"/>
      <c r="H250" s="66"/>
      <c r="I250" s="144" t="s">
        <v>472</v>
      </c>
      <c r="J250" s="145"/>
      <c r="K250" s="224">
        <v>167707</v>
      </c>
      <c r="L250" s="31" t="str">
        <f t="shared" si="4"/>
        <v>-</v>
      </c>
    </row>
    <row r="251" spans="1:12" ht="31.5" x14ac:dyDescent="0.25">
      <c r="A251" s="70" t="s">
        <v>465</v>
      </c>
      <c r="B251" s="60" t="s">
        <v>170</v>
      </c>
      <c r="C251" s="61" t="s">
        <v>1</v>
      </c>
      <c r="D251" s="140" t="s">
        <v>552</v>
      </c>
      <c r="E251" s="140" t="s">
        <v>549</v>
      </c>
      <c r="F251" s="61" t="s">
        <v>592</v>
      </c>
      <c r="G251" s="61"/>
      <c r="H251" s="61"/>
      <c r="I251" s="141"/>
      <c r="J251" s="142"/>
      <c r="K251" s="218">
        <f>803500.8/1000</f>
        <v>803.50080000000003</v>
      </c>
      <c r="L251" s="29" t="str">
        <f t="shared" si="4"/>
        <v>-</v>
      </c>
    </row>
    <row r="252" spans="1:12" ht="31.5" x14ac:dyDescent="0.25">
      <c r="A252" s="139" t="s">
        <v>178</v>
      </c>
      <c r="B252" s="65" t="s">
        <v>170</v>
      </c>
      <c r="C252" s="61" t="s">
        <v>1</v>
      </c>
      <c r="D252" s="140" t="s">
        <v>552</v>
      </c>
      <c r="E252" s="140" t="s">
        <v>549</v>
      </c>
      <c r="F252" s="66" t="s">
        <v>593</v>
      </c>
      <c r="G252" s="66"/>
      <c r="H252" s="66"/>
      <c r="I252" s="144"/>
      <c r="J252" s="145"/>
      <c r="K252" s="224">
        <f>803500.8/1000</f>
        <v>803.50080000000003</v>
      </c>
      <c r="L252" s="31" t="str">
        <f t="shared" si="4"/>
        <v>-</v>
      </c>
    </row>
    <row r="253" spans="1:12" ht="47.25" x14ac:dyDescent="0.25">
      <c r="A253" s="70" t="s">
        <v>475</v>
      </c>
      <c r="B253" s="65" t="s">
        <v>170</v>
      </c>
      <c r="C253" s="61" t="s">
        <v>1</v>
      </c>
      <c r="D253" s="140" t="s">
        <v>552</v>
      </c>
      <c r="E253" s="140" t="s">
        <v>549</v>
      </c>
      <c r="F253" s="66" t="s">
        <v>647</v>
      </c>
      <c r="G253" s="66"/>
      <c r="H253" s="66"/>
      <c r="I253" s="144"/>
      <c r="J253" s="145"/>
      <c r="K253" s="224">
        <f>803500.8/1000</f>
        <v>803.50080000000003</v>
      </c>
      <c r="L253" s="31" t="str">
        <f t="shared" si="4"/>
        <v>-</v>
      </c>
    </row>
    <row r="254" spans="1:12" ht="48" thickBot="1" x14ac:dyDescent="0.3">
      <c r="A254" s="86" t="s">
        <v>196</v>
      </c>
      <c r="B254" s="157" t="s">
        <v>170</v>
      </c>
      <c r="C254" s="88" t="s">
        <v>1</v>
      </c>
      <c r="D254" s="155" t="s">
        <v>552</v>
      </c>
      <c r="E254" s="155" t="s">
        <v>549</v>
      </c>
      <c r="F254" s="158" t="s">
        <v>647</v>
      </c>
      <c r="G254" s="158"/>
      <c r="H254" s="158"/>
      <c r="I254" s="159" t="s">
        <v>571</v>
      </c>
      <c r="J254" s="160"/>
      <c r="K254" s="232">
        <f>803500.8/1000</f>
        <v>803.50080000000003</v>
      </c>
      <c r="L254" s="31" t="str">
        <f t="shared" si="4"/>
        <v>-</v>
      </c>
    </row>
    <row r="255" spans="1:12" ht="48" hidden="1" thickBot="1" x14ac:dyDescent="0.3">
      <c r="A255" s="161" t="s">
        <v>200</v>
      </c>
      <c r="B255" s="60" t="s">
        <v>170</v>
      </c>
      <c r="C255" s="61"/>
      <c r="D255" s="155"/>
      <c r="E255" s="155"/>
      <c r="F255" s="61"/>
      <c r="G255" s="61"/>
      <c r="H255" s="61"/>
      <c r="I255" s="62" t="s">
        <v>478</v>
      </c>
      <c r="J255" s="63"/>
      <c r="K255" s="218">
        <v>803500.8</v>
      </c>
      <c r="L255" s="31" t="str">
        <f t="shared" si="4"/>
        <v>-</v>
      </c>
    </row>
    <row r="256" spans="1:12" ht="9" hidden="1" customHeight="1" thickBot="1" x14ac:dyDescent="0.3">
      <c r="A256" s="162"/>
      <c r="B256" s="163"/>
      <c r="C256" s="163"/>
      <c r="D256" s="163"/>
      <c r="E256" s="163"/>
      <c r="F256" s="163"/>
      <c r="G256" s="163"/>
      <c r="H256" s="163"/>
      <c r="I256" s="164"/>
      <c r="J256" s="165"/>
      <c r="K256" s="233"/>
      <c r="L256" s="13"/>
    </row>
    <row r="257" spans="1:12" ht="13.5" hidden="1" customHeight="1" thickBot="1" x14ac:dyDescent="0.3">
      <c r="A257" s="166" t="s">
        <v>479</v>
      </c>
      <c r="B257" s="167" t="s">
        <v>480</v>
      </c>
      <c r="C257" s="168"/>
      <c r="D257" s="168"/>
      <c r="E257" s="168"/>
      <c r="F257" s="168"/>
      <c r="G257" s="168"/>
      <c r="H257" s="168"/>
      <c r="I257" s="169" t="s">
        <v>171</v>
      </c>
      <c r="J257" s="170"/>
      <c r="K257" s="217">
        <v>-4117640.69</v>
      </c>
      <c r="L257" s="32" t="s">
        <v>481</v>
      </c>
    </row>
    <row r="258" spans="1:12" ht="12.75" customHeight="1" x14ac:dyDescent="0.25">
      <c r="A258" s="171"/>
      <c r="B258" s="171"/>
      <c r="C258" s="171"/>
      <c r="D258" s="171"/>
      <c r="E258" s="171"/>
      <c r="F258" s="171"/>
      <c r="G258" s="171"/>
      <c r="H258" s="171"/>
      <c r="I258" s="171"/>
      <c r="J258" s="171"/>
      <c r="K258" s="234"/>
    </row>
    <row r="259" spans="1:12" ht="12.75" customHeight="1" x14ac:dyDescent="0.25">
      <c r="A259" s="171"/>
      <c r="B259" s="171"/>
      <c r="C259" s="171"/>
      <c r="D259" s="171"/>
      <c r="E259" s="171"/>
      <c r="F259" s="171"/>
      <c r="G259" s="171"/>
      <c r="H259" s="171"/>
      <c r="I259" s="171"/>
      <c r="J259" s="171"/>
      <c r="K259" s="234"/>
    </row>
    <row r="260" spans="1:12" ht="12.75" customHeight="1" x14ac:dyDescent="0.2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235"/>
    </row>
    <row r="261" spans="1:12" ht="12.75" customHeight="1" x14ac:dyDescent="0.2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235"/>
    </row>
    <row r="262" spans="1:12" ht="12.75" customHeight="1" x14ac:dyDescent="0.2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235"/>
    </row>
    <row r="263" spans="1:12" ht="12.75" customHeight="1" x14ac:dyDescent="0.2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235"/>
    </row>
    <row r="264" spans="1:12" ht="12.75" customHeight="1" x14ac:dyDescent="0.2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235"/>
    </row>
    <row r="265" spans="1:12" ht="12.75" customHeight="1" x14ac:dyDescent="0.2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235"/>
    </row>
  </sheetData>
  <mergeCells count="13">
    <mergeCell ref="F1:K1"/>
    <mergeCell ref="E2:K2"/>
    <mergeCell ref="D3:K3"/>
    <mergeCell ref="E4:K4"/>
    <mergeCell ref="D5:K5"/>
    <mergeCell ref="L12:L14"/>
    <mergeCell ref="A8:K8"/>
    <mergeCell ref="A7:K7"/>
    <mergeCell ref="A9:K9"/>
    <mergeCell ref="A10:K10"/>
    <mergeCell ref="A12:A16"/>
    <mergeCell ref="B12:B16"/>
    <mergeCell ref="J12:J16"/>
  </mergeCells>
  <conditionalFormatting sqref="K19:L19 K21:L21">
    <cfRule type="cellIs" priority="1" stopIfTrue="1" operator="equal">
      <formula>0</formula>
    </cfRule>
  </conditionalFormatting>
  <conditionalFormatting sqref="K33:L34">
    <cfRule type="cellIs" priority="2" stopIfTrue="1" operator="equal">
      <formula>0</formula>
    </cfRule>
  </conditionalFormatting>
  <conditionalFormatting sqref="K36:L36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2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showGridLines="0" workbookViewId="0">
      <selection activeCell="G38" sqref="G38"/>
    </sheetView>
  </sheetViews>
  <sheetFormatPr defaultRowHeight="12.75" customHeight="1" x14ac:dyDescent="0.2"/>
  <cols>
    <col min="1" max="1" width="42.28515625" customWidth="1"/>
    <col min="2" max="2" width="5.5703125" hidden="1" customWidth="1"/>
    <col min="3" max="3" width="40.7109375" customWidth="1"/>
    <col min="4" max="4" width="18.7109375" customWidth="1"/>
  </cols>
  <sheetData>
    <row r="1" spans="1:4" ht="12.75" customHeight="1" x14ac:dyDescent="0.25">
      <c r="A1" s="34"/>
      <c r="B1" s="34"/>
      <c r="C1" s="34"/>
      <c r="D1" s="35" t="s">
        <v>655</v>
      </c>
    </row>
    <row r="2" spans="1:4" ht="12.75" customHeight="1" x14ac:dyDescent="0.25">
      <c r="A2" s="36"/>
      <c r="B2" s="36"/>
      <c r="C2" s="36"/>
      <c r="D2" s="35" t="s">
        <v>652</v>
      </c>
    </row>
    <row r="3" spans="1:4" ht="12.75" customHeight="1" x14ac:dyDescent="0.25">
      <c r="A3" s="36"/>
      <c r="B3" s="36"/>
      <c r="C3" s="36"/>
      <c r="D3" s="35" t="s">
        <v>653</v>
      </c>
    </row>
    <row r="4" spans="1:4" ht="12.75" customHeight="1" x14ac:dyDescent="0.25">
      <c r="A4" s="36"/>
      <c r="B4" s="36"/>
      <c r="C4" s="36"/>
      <c r="D4" s="35" t="s">
        <v>654</v>
      </c>
    </row>
    <row r="5" spans="1:4" ht="12.75" customHeight="1" x14ac:dyDescent="0.2">
      <c r="A5" s="37"/>
      <c r="B5" s="37"/>
      <c r="C5" s="37"/>
      <c r="D5" s="38" t="s">
        <v>656</v>
      </c>
    </row>
    <row r="6" spans="1:4" ht="12.75" customHeight="1" x14ac:dyDescent="0.2">
      <c r="A6" s="37"/>
      <c r="B6" s="37"/>
      <c r="C6" s="37"/>
      <c r="D6" s="38"/>
    </row>
    <row r="7" spans="1:4" ht="12.75" customHeight="1" x14ac:dyDescent="0.2">
      <c r="A7" s="37"/>
      <c r="B7" s="37"/>
      <c r="C7" s="37"/>
      <c r="D7" s="38"/>
    </row>
    <row r="8" spans="1:4" ht="12.75" customHeight="1" x14ac:dyDescent="0.3">
      <c r="A8" s="284" t="s">
        <v>650</v>
      </c>
      <c r="B8" s="284"/>
      <c r="C8" s="284"/>
      <c r="D8" s="284"/>
    </row>
    <row r="9" spans="1:4" ht="17.25" customHeight="1" x14ac:dyDescent="0.3">
      <c r="A9" s="259" t="s">
        <v>527</v>
      </c>
      <c r="B9" s="259"/>
      <c r="C9" s="259"/>
      <c r="D9" s="259"/>
    </row>
    <row r="10" spans="1:4" ht="14.25" customHeight="1" x14ac:dyDescent="0.3">
      <c r="A10" s="259" t="s">
        <v>659</v>
      </c>
      <c r="B10" s="259"/>
      <c r="C10" s="259"/>
      <c r="D10" s="259"/>
    </row>
    <row r="11" spans="1:4" ht="14.25" customHeight="1" x14ac:dyDescent="0.3">
      <c r="A11" s="259" t="s">
        <v>529</v>
      </c>
      <c r="B11" s="259"/>
      <c r="C11" s="259"/>
      <c r="D11" s="259"/>
    </row>
    <row r="12" spans="1:4" ht="12.75" customHeight="1" x14ac:dyDescent="0.3">
      <c r="A12" s="259" t="s">
        <v>649</v>
      </c>
      <c r="B12" s="259"/>
      <c r="C12" s="259"/>
      <c r="D12" s="259"/>
    </row>
    <row r="13" spans="1:4" ht="4.5" customHeight="1" x14ac:dyDescent="0.2">
      <c r="A13" s="285"/>
      <c r="B13" s="285"/>
      <c r="C13" s="285"/>
      <c r="D13" s="285"/>
    </row>
    <row r="14" spans="1:4" ht="15" customHeight="1" thickBot="1" x14ac:dyDescent="0.3">
      <c r="A14" s="39"/>
      <c r="B14" s="40"/>
      <c r="C14" s="41"/>
      <c r="D14" s="91" t="s">
        <v>537</v>
      </c>
    </row>
    <row r="15" spans="1:4" ht="13.9" customHeight="1" x14ac:dyDescent="0.2">
      <c r="A15" s="286" t="s">
        <v>2</v>
      </c>
      <c r="B15" s="263" t="s">
        <v>3</v>
      </c>
      <c r="C15" s="290" t="s">
        <v>482</v>
      </c>
      <c r="D15" s="293" t="s">
        <v>5</v>
      </c>
    </row>
    <row r="16" spans="1:4" ht="4.9000000000000004" customHeight="1" x14ac:dyDescent="0.2">
      <c r="A16" s="287"/>
      <c r="B16" s="264"/>
      <c r="C16" s="291"/>
      <c r="D16" s="294"/>
    </row>
    <row r="17" spans="1:4" ht="6" customHeight="1" x14ac:dyDescent="0.2">
      <c r="A17" s="287"/>
      <c r="B17" s="264"/>
      <c r="C17" s="291"/>
      <c r="D17" s="294"/>
    </row>
    <row r="18" spans="1:4" ht="4.9000000000000004" customHeight="1" x14ac:dyDescent="0.2">
      <c r="A18" s="287"/>
      <c r="B18" s="264"/>
      <c r="C18" s="291"/>
      <c r="D18" s="294"/>
    </row>
    <row r="19" spans="1:4" ht="6" customHeight="1" x14ac:dyDescent="0.2">
      <c r="A19" s="287"/>
      <c r="B19" s="264"/>
      <c r="C19" s="291"/>
      <c r="D19" s="294"/>
    </row>
    <row r="20" spans="1:4" ht="6" customHeight="1" x14ac:dyDescent="0.2">
      <c r="A20" s="287"/>
      <c r="B20" s="264"/>
      <c r="C20" s="291"/>
      <c r="D20" s="294"/>
    </row>
    <row r="21" spans="1:4" ht="18" customHeight="1" thickBot="1" x14ac:dyDescent="0.25">
      <c r="A21" s="288"/>
      <c r="B21" s="289"/>
      <c r="C21" s="292"/>
      <c r="D21" s="295"/>
    </row>
    <row r="22" spans="1:4" ht="13.5" customHeight="1" thickBot="1" x14ac:dyDescent="0.25">
      <c r="A22" s="174">
        <v>1</v>
      </c>
      <c r="B22" s="175">
        <v>2</v>
      </c>
      <c r="C22" s="176">
        <v>2</v>
      </c>
      <c r="D22" s="177" t="s">
        <v>515</v>
      </c>
    </row>
    <row r="23" spans="1:4" ht="32.25" thickBot="1" x14ac:dyDescent="0.3">
      <c r="A23" s="178" t="s">
        <v>483</v>
      </c>
      <c r="B23" s="179" t="s">
        <v>484</v>
      </c>
      <c r="C23" s="180"/>
      <c r="D23" s="236">
        <f>4117640.69/1000</f>
        <v>4117.6406900000002</v>
      </c>
    </row>
    <row r="24" spans="1:4" ht="15.75" hidden="1" x14ac:dyDescent="0.25">
      <c r="A24" s="181" t="s">
        <v>10</v>
      </c>
      <c r="B24" s="182"/>
      <c r="C24" s="183"/>
      <c r="D24" s="237"/>
    </row>
    <row r="25" spans="1:4" ht="31.5" hidden="1" x14ac:dyDescent="0.25">
      <c r="A25" s="80" t="s">
        <v>485</v>
      </c>
      <c r="B25" s="184" t="s">
        <v>486</v>
      </c>
      <c r="C25" s="126" t="s">
        <v>171</v>
      </c>
      <c r="D25" s="238" t="s">
        <v>21</v>
      </c>
    </row>
    <row r="26" spans="1:4" ht="15.75" hidden="1" x14ac:dyDescent="0.25">
      <c r="A26" s="181" t="s">
        <v>487</v>
      </c>
      <c r="B26" s="182"/>
      <c r="C26" s="183"/>
      <c r="D26" s="237"/>
    </row>
    <row r="27" spans="1:4" ht="31.5" hidden="1" x14ac:dyDescent="0.25">
      <c r="A27" s="80" t="s">
        <v>488</v>
      </c>
      <c r="B27" s="184" t="s">
        <v>489</v>
      </c>
      <c r="C27" s="126" t="s">
        <v>171</v>
      </c>
      <c r="D27" s="238" t="s">
        <v>21</v>
      </c>
    </row>
    <row r="28" spans="1:4" ht="15.75" hidden="1" x14ac:dyDescent="0.25">
      <c r="A28" s="181" t="s">
        <v>487</v>
      </c>
      <c r="B28" s="182"/>
      <c r="C28" s="183"/>
      <c r="D28" s="237"/>
    </row>
    <row r="29" spans="1:4" ht="15.75" hidden="1" x14ac:dyDescent="0.25">
      <c r="A29" s="178" t="s">
        <v>490</v>
      </c>
      <c r="B29" s="179" t="s">
        <v>491</v>
      </c>
      <c r="C29" s="180" t="s">
        <v>492</v>
      </c>
      <c r="D29" s="236">
        <v>4117640.69</v>
      </c>
    </row>
    <row r="30" spans="1:4" ht="31.5" hidden="1" x14ac:dyDescent="0.25">
      <c r="A30" s="178" t="s">
        <v>493</v>
      </c>
      <c r="B30" s="179" t="s">
        <v>491</v>
      </c>
      <c r="C30" s="180" t="s">
        <v>494</v>
      </c>
      <c r="D30" s="236">
        <v>4117640.69</v>
      </c>
    </row>
    <row r="31" spans="1:4" ht="15.75" hidden="1" x14ac:dyDescent="0.25">
      <c r="A31" s="178" t="s">
        <v>495</v>
      </c>
      <c r="B31" s="179" t="s">
        <v>496</v>
      </c>
      <c r="C31" s="180" t="s">
        <v>497</v>
      </c>
      <c r="D31" s="236">
        <v>-92771006.790000007</v>
      </c>
    </row>
    <row r="32" spans="1:4" ht="31.5" hidden="1" x14ac:dyDescent="0.25">
      <c r="A32" s="185" t="s">
        <v>498</v>
      </c>
      <c r="B32" s="186" t="s">
        <v>496</v>
      </c>
      <c r="C32" s="187" t="s">
        <v>499</v>
      </c>
      <c r="D32" s="239">
        <v>-92771006.790000007</v>
      </c>
    </row>
    <row r="33" spans="1:4" ht="32.25" thickBot="1" x14ac:dyDescent="0.3">
      <c r="A33" s="188" t="s">
        <v>500</v>
      </c>
      <c r="B33" s="189" t="s">
        <v>496</v>
      </c>
      <c r="C33" s="190" t="s">
        <v>501</v>
      </c>
      <c r="D33" s="240">
        <f>-92771006.79/1000</f>
        <v>-92771.006789999999</v>
      </c>
    </row>
    <row r="34" spans="1:4" ht="15.75" hidden="1" x14ac:dyDescent="0.25">
      <c r="A34" s="191" t="s">
        <v>502</v>
      </c>
      <c r="B34" s="184" t="s">
        <v>503</v>
      </c>
      <c r="C34" s="126" t="s">
        <v>504</v>
      </c>
      <c r="D34" s="238">
        <v>96888647.480000004</v>
      </c>
    </row>
    <row r="35" spans="1:4" ht="32.25" thickBot="1" x14ac:dyDescent="0.3">
      <c r="A35" s="192" t="s">
        <v>505</v>
      </c>
      <c r="B35" s="193" t="s">
        <v>503</v>
      </c>
      <c r="C35" s="194" t="s">
        <v>506</v>
      </c>
      <c r="D35" s="241">
        <f>96888647.48/1000</f>
        <v>96888.64748</v>
      </c>
    </row>
    <row r="36" spans="1:4" ht="12.75" customHeight="1" x14ac:dyDescent="0.2">
      <c r="A36" s="1"/>
      <c r="B36" s="33"/>
      <c r="C36" s="1"/>
      <c r="D36" s="2"/>
    </row>
  </sheetData>
  <mergeCells count="10">
    <mergeCell ref="A13:D13"/>
    <mergeCell ref="A15:A21"/>
    <mergeCell ref="B15:B21"/>
    <mergeCell ref="C15:C21"/>
    <mergeCell ref="D15:D21"/>
    <mergeCell ref="A8:D8"/>
    <mergeCell ref="A9:D9"/>
    <mergeCell ref="A10:D10"/>
    <mergeCell ref="A12:D12"/>
    <mergeCell ref="A11:D11"/>
  </mergeCells>
  <conditionalFormatting sqref="D24 D26">
    <cfRule type="cellIs" priority="1" stopIfTrue="1" operator="equal">
      <formula>0</formula>
    </cfRule>
  </conditionalFormatting>
  <conditionalFormatting sqref="D39">
    <cfRule type="cellIs" priority="2" stopIfTrue="1" operator="equal">
      <formula>0</formula>
    </cfRule>
  </conditionalFormatting>
  <conditionalFormatting sqref="D41">
    <cfRule type="cellIs" priority="3" stopIfTrue="1" operator="equal">
      <formula>0</formula>
    </cfRule>
  </conditionalFormatting>
  <conditionalFormatting sqref="D112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507</v>
      </c>
      <c r="B1" t="s">
        <v>508</v>
      </c>
    </row>
    <row r="2" spans="1:2" x14ac:dyDescent="0.2">
      <c r="A2" t="s">
        <v>509</v>
      </c>
      <c r="B2" t="s">
        <v>510</v>
      </c>
    </row>
    <row r="3" spans="1:2" x14ac:dyDescent="0.2">
      <c r="A3" t="s">
        <v>511</v>
      </c>
      <c r="B3" t="s">
        <v>0</v>
      </c>
    </row>
    <row r="4" spans="1:2" x14ac:dyDescent="0.2">
      <c r="A4" t="s">
        <v>512</v>
      </c>
      <c r="B4" t="s">
        <v>513</v>
      </c>
    </row>
    <row r="5" spans="1:2" x14ac:dyDescent="0.2">
      <c r="A5" t="s">
        <v>514</v>
      </c>
      <c r="B5" t="s">
        <v>515</v>
      </c>
    </row>
    <row r="6" spans="1:2" x14ac:dyDescent="0.2">
      <c r="A6" t="s">
        <v>516</v>
      </c>
      <c r="B6" t="s">
        <v>508</v>
      </c>
    </row>
    <row r="7" spans="1:2" x14ac:dyDescent="0.2">
      <c r="A7" t="s">
        <v>517</v>
      </c>
      <c r="B7" t="s">
        <v>518</v>
      </c>
    </row>
    <row r="8" spans="1:2" x14ac:dyDescent="0.2">
      <c r="A8" t="s">
        <v>519</v>
      </c>
      <c r="B8" t="s">
        <v>520</v>
      </c>
    </row>
    <row r="9" spans="1:2" x14ac:dyDescent="0.2">
      <c r="A9" t="s">
        <v>521</v>
      </c>
      <c r="B9" t="s">
        <v>522</v>
      </c>
    </row>
    <row r="10" spans="1:2" x14ac:dyDescent="0.2">
      <c r="A10" t="s">
        <v>523</v>
      </c>
      <c r="B10" t="s">
        <v>524</v>
      </c>
    </row>
    <row r="11" spans="1:2" x14ac:dyDescent="0.2">
      <c r="A11" t="s">
        <v>525</v>
      </c>
      <c r="B11" t="s">
        <v>515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29</vt:i4>
      </vt:variant>
    </vt:vector>
  </HeadingPairs>
  <TitlesOfParts>
    <vt:vector size="34" baseType="lpstr">
      <vt:lpstr>прил.1</vt:lpstr>
      <vt:lpstr>прил.2</vt:lpstr>
      <vt:lpstr>прил.3</vt:lpstr>
      <vt:lpstr>прил.4</vt:lpstr>
      <vt:lpstr>_params</vt:lpstr>
      <vt:lpstr>прил.2!APPT</vt:lpstr>
      <vt:lpstr>прил.3!APPT</vt:lpstr>
      <vt:lpstr>прил.4!APPT</vt:lpstr>
      <vt:lpstr>прил.1!FILE_NAME</vt:lpstr>
      <vt:lpstr>прил.1!FIO</vt:lpstr>
      <vt:lpstr>прил.2!FIO</vt:lpstr>
      <vt:lpstr>прил.3!FIO</vt:lpstr>
      <vt:lpstr>прил.1!FORM_CODE</vt:lpstr>
      <vt:lpstr>прил.2!LAST_CELL</vt:lpstr>
      <vt:lpstr>прил.3!LAST_CELL</vt:lpstr>
      <vt:lpstr>прил.1!PARAMS</vt:lpstr>
      <vt:lpstr>прил.1!RANGE_NAMES</vt:lpstr>
      <vt:lpstr>прил.2!RBEGIN_1</vt:lpstr>
      <vt:lpstr>прил.3!RBEGIN_1</vt:lpstr>
      <vt:lpstr>прил.4!RBEGIN_1</vt:lpstr>
      <vt:lpstr>прил.1!REG_DATE</vt:lpstr>
      <vt:lpstr>прил.2!REND_1</vt:lpstr>
      <vt:lpstr>прил.3!REND_1</vt:lpstr>
      <vt:lpstr>прил.4!REND_1</vt:lpstr>
      <vt:lpstr>прил.4!S_520</vt:lpstr>
      <vt:lpstr>прил.4!S_620</vt:lpstr>
      <vt:lpstr>прил.4!S_700</vt:lpstr>
      <vt:lpstr>прил.4!S_700A</vt:lpstr>
      <vt:lpstr>прил.1!SIGN</vt:lpstr>
      <vt:lpstr>прил.2!SIGN</vt:lpstr>
      <vt:lpstr>прил.3!SIGN</vt:lpstr>
      <vt:lpstr>прил.4!SIGN</vt:lpstr>
      <vt:lpstr>прил.1!SRC_CODE</vt:lpstr>
      <vt:lpstr>прил.1!SRC_KIND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rep:2.43.2.87</dc:description>
  <cp:lastModifiedBy>Document</cp:lastModifiedBy>
  <cp:lastPrinted>2018-08-21T15:29:06Z</cp:lastPrinted>
  <dcterms:created xsi:type="dcterms:W3CDTF">2018-01-17T08:40:28Z</dcterms:created>
  <dcterms:modified xsi:type="dcterms:W3CDTF">2018-08-29T13:20:20Z</dcterms:modified>
</cp:coreProperties>
</file>