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440" yWindow="270" windowWidth="9680" windowHeight="7280" tabRatio="718" firstSheet="2" activeTab="2"/>
  </bookViews>
  <sheets>
    <sheet name="прил2 дох 2019-2021 " sheetId="4" state="hidden" r:id="rId1"/>
    <sheet name="прил4 дох 2020 21" sheetId="6" state="hidden" r:id="rId2"/>
    <sheet name="прил2 дох 2022-2024.." sheetId="27" r:id="rId3"/>
    <sheet name="прил2 дох 2020-2022." sheetId="15" state="hidden" r:id="rId4"/>
    <sheet name="прил 3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4 2022-2024..." sheetId="35" r:id="rId17"/>
    <sheet name="прил 5 2022-2024." sheetId="34" r:id="rId18"/>
    <sheet name="прил 6 2021-2023.." sheetId="28" state="hidden" r:id="rId19"/>
    <sheet name="прил 6 2020-2022." sheetId="23" state="hidden" r:id="rId20"/>
    <sheet name="прил 7 2020-2022" sheetId="16" state="hidden" r:id="rId21"/>
    <sheet name="прил8 2020-2022 " sheetId="7" state="hidden" r:id="rId22"/>
    <sheet name="прил 13 " sheetId="8" state="hidden" r:id="rId23"/>
    <sheet name="прил 10 2020-2022" sheetId="9" state="hidden" r:id="rId24"/>
    <sheet name="прил 10 2020-2022." sheetId="26" state="hidden" r:id="rId25"/>
    <sheet name="прил 7 2020-2022." sheetId="30" state="hidden" r:id="rId26"/>
    <sheet name="прил 7 2021-2023" sheetId="31" state="hidden" r:id="rId27"/>
    <sheet name="прил 6 2022-2024" sheetId="32" state="hidden" r:id="rId28"/>
    <sheet name="прил 8 2021-2023.." sheetId="29" r:id="rId29"/>
    <sheet name="прил 6 2019-2021. (2)" sheetId="18" state="hidden" r:id="rId30"/>
  </sheets>
  <definedNames>
    <definedName name="_xlnm._FilterDatabase" localSheetId="13" hidden="1">'прил 10 2018-19'!$A$20:$V$316</definedName>
    <definedName name="_xlnm._FilterDatabase" localSheetId="23" hidden="1">'прил 10 2020-2022'!#REF!</definedName>
    <definedName name="_xlnm._FilterDatabase" localSheetId="4" hidden="1">'прил 3 2022-2024.'!$A$195:$IV$374</definedName>
    <definedName name="_xlnm._FilterDatabase" localSheetId="16" hidden="1">'прил 4 2022-2024...'!$A$23:$AD$23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9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9" hidden="1">'прил 6 2020-2022.'!$A$55:$AA$55</definedName>
    <definedName name="_xlnm._FilterDatabase" localSheetId="18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3">'прил 10 2020-2022'!$A$17:$M$218</definedName>
    <definedName name="_xlnm.Print_Area" localSheetId="22">'прил 13 '!$A$1:$D$26</definedName>
    <definedName name="_xlnm.Print_Area" localSheetId="4">'прил 3 2022-2024.'!$A$1:$W$797</definedName>
    <definedName name="_xlnm.Print_Area" localSheetId="16">'прил 4 2022-2024...'!$A$1:$U$634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7">'прил 5 2022-2024.'!$A$1:$K$30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9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9">'прил 6 2020-2022.'!$A$1:$U$507</definedName>
    <definedName name="_xlnm.Print_Area" localSheetId="18">'прил 6 2021-2023..'!$A$1:$U$573</definedName>
    <definedName name="_xlnm.Print_Area" localSheetId="27">'прил 6 2022-2024'!$A$1:$J$36</definedName>
    <definedName name="_xlnm.Print_Area" localSheetId="7">'прил 7 2017 '!$A$1:$O$517</definedName>
    <definedName name="_xlnm.Print_Area" localSheetId="20">'прил 7 2020-2022'!$A$1:$K$30</definedName>
    <definedName name="_xlnm.Print_Area" localSheetId="25">'прил 7 2020-2022.'!$A$1:$K$30</definedName>
    <definedName name="_xlnm.Print_Area" localSheetId="26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28">'прил 8 2021-2023..'!$A$1:$G$67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2022-2024..'!$A$1:$W$132</definedName>
    <definedName name="_xlnm.Print_Area" localSheetId="1">'прил4 дох 2020 21'!$A$1:$S$116</definedName>
    <definedName name="_xlnm.Print_Area" localSheetId="21">'прил8 2020-2022 '!$A$1:$J$35</definedName>
  </definedNames>
  <calcPr calcId="144525"/>
</workbook>
</file>

<file path=xl/calcChain.xml><?xml version="1.0" encoding="utf-8"?>
<calcChain xmlns="http://schemas.openxmlformats.org/spreadsheetml/2006/main">
  <c r="H112" i="35" l="1"/>
  <c r="N637" i="22"/>
  <c r="K42" i="27"/>
  <c r="N349" i="22"/>
  <c r="H289" i="35"/>
  <c r="D35" i="29"/>
  <c r="H62" i="35" l="1"/>
  <c r="H21" i="34"/>
  <c r="N324" i="22"/>
  <c r="H209" i="35"/>
  <c r="K113" i="27"/>
  <c r="K122" i="27" l="1"/>
  <c r="N229" i="22" l="1"/>
  <c r="H136" i="35" l="1"/>
  <c r="H355" i="35" l="1"/>
  <c r="N376" i="22" l="1"/>
  <c r="N367" i="22" s="1"/>
  <c r="N216" i="22"/>
  <c r="N197" i="22"/>
  <c r="N343" i="22"/>
  <c r="H363" i="35"/>
  <c r="N556" i="22" l="1"/>
  <c r="N348" i="22"/>
  <c r="N347" i="22" s="1"/>
  <c r="U288" i="35"/>
  <c r="N288" i="35"/>
  <c r="H288" i="35"/>
  <c r="H69" i="35"/>
  <c r="N564" i="22"/>
  <c r="H67" i="35"/>
  <c r="U308" i="35"/>
  <c r="U307" i="35" s="1"/>
  <c r="U306" i="35" s="1"/>
  <c r="N308" i="35"/>
  <c r="N307" i="35" s="1"/>
  <c r="N306" i="35" s="1"/>
  <c r="H308" i="35"/>
  <c r="H307" i="35" s="1"/>
  <c r="H306" i="35" s="1"/>
  <c r="N442" i="22"/>
  <c r="N441" i="22" s="1"/>
  <c r="N476" i="22"/>
  <c r="N470" i="22" s="1"/>
  <c r="H411" i="35"/>
  <c r="N254" i="22"/>
  <c r="H481" i="35"/>
  <c r="H133" i="35"/>
  <c r="N765" i="22"/>
  <c r="N614" i="22"/>
  <c r="H173" i="35"/>
  <c r="H193" i="35"/>
  <c r="N330" i="22"/>
  <c r="K54" i="27"/>
  <c r="K108" i="27"/>
  <c r="K125" i="27"/>
  <c r="V125" i="27"/>
  <c r="K126" i="27"/>
  <c r="U390" i="35" l="1"/>
  <c r="N390" i="35"/>
  <c r="N389" i="35" s="1"/>
  <c r="U389" i="35"/>
  <c r="H394" i="35"/>
  <c r="H390" i="35"/>
  <c r="H389" i="35" s="1"/>
  <c r="N432" i="22"/>
  <c r="W426" i="22"/>
  <c r="W425" i="22" s="1"/>
  <c r="W424" i="22" s="1"/>
  <c r="V426" i="22"/>
  <c r="V425" i="22" s="1"/>
  <c r="V424" i="22" s="1"/>
  <c r="N426" i="22"/>
  <c r="N425" i="22" s="1"/>
  <c r="N424" i="22" s="1"/>
  <c r="N560" i="22" l="1"/>
  <c r="N554" i="22"/>
  <c r="N548" i="22"/>
  <c r="H619" i="35"/>
  <c r="H617" i="35"/>
  <c r="H610" i="35"/>
  <c r="W514" i="22" l="1"/>
  <c r="W513" i="22" s="1"/>
  <c r="W512" i="22" s="1"/>
  <c r="V514" i="22"/>
  <c r="V513" i="22" s="1"/>
  <c r="V512" i="22" s="1"/>
  <c r="N514" i="22"/>
  <c r="N513" i="22" s="1"/>
  <c r="N512" i="22" s="1"/>
  <c r="N519" i="22"/>
  <c r="W481" i="22"/>
  <c r="W480" i="22" s="1"/>
  <c r="W479" i="22" s="1"/>
  <c r="W478" i="22" s="1"/>
  <c r="W477" i="22" s="1"/>
  <c r="V481" i="22"/>
  <c r="V480" i="22"/>
  <c r="V479" i="22" s="1"/>
  <c r="V478" i="22" s="1"/>
  <c r="V477" i="22" s="1"/>
  <c r="N481" i="22"/>
  <c r="N480" i="22" s="1"/>
  <c r="N479" i="22" s="1"/>
  <c r="N478" i="22" s="1"/>
  <c r="N477" i="22" s="1"/>
  <c r="W462" i="22"/>
  <c r="W461" i="22" s="1"/>
  <c r="W460" i="22" s="1"/>
  <c r="W459" i="22" s="1"/>
  <c r="W458" i="22" s="1"/>
  <c r="V462" i="22"/>
  <c r="V461" i="22" s="1"/>
  <c r="V460" i="22" s="1"/>
  <c r="V459" i="22" s="1"/>
  <c r="V458" i="22" s="1"/>
  <c r="N462" i="22"/>
  <c r="N461" i="22" s="1"/>
  <c r="N460" i="22" s="1"/>
  <c r="N459" i="22" s="1"/>
  <c r="N458" i="22" s="1"/>
  <c r="N469" i="22"/>
  <c r="W345" i="22"/>
  <c r="V345" i="22"/>
  <c r="N345" i="22"/>
  <c r="W451" i="22"/>
  <c r="W450" i="22" s="1"/>
  <c r="W449" i="22" s="1"/>
  <c r="V451" i="22"/>
  <c r="V450" i="22"/>
  <c r="V449" i="22"/>
  <c r="N450" i="22"/>
  <c r="N449" i="22" s="1"/>
  <c r="N451" i="22"/>
  <c r="N456" i="22"/>
  <c r="W344" i="22"/>
  <c r="W343" i="22" s="1"/>
  <c r="W342" i="22" s="1"/>
  <c r="W341" i="22" s="1"/>
  <c r="V344" i="22"/>
  <c r="V343" i="22" s="1"/>
  <c r="V342" i="22" s="1"/>
  <c r="V341" i="22" s="1"/>
  <c r="N344" i="22"/>
  <c r="N342" i="22"/>
  <c r="N341" i="22" s="1"/>
  <c r="N364" i="22"/>
  <c r="U432" i="35"/>
  <c r="U431" i="35" s="1"/>
  <c r="N432" i="35"/>
  <c r="N431" i="35" s="1"/>
  <c r="H432" i="35"/>
  <c r="H431" i="35" s="1"/>
  <c r="H436" i="35"/>
  <c r="U415" i="35"/>
  <c r="U414" i="35" s="1"/>
  <c r="U413" i="35" s="1"/>
  <c r="U412" i="35" s="1"/>
  <c r="N415" i="35"/>
  <c r="N414" i="35" s="1"/>
  <c r="N413" i="35" s="1"/>
  <c r="N412" i="35" s="1"/>
  <c r="H415" i="35"/>
  <c r="H414" i="35" s="1"/>
  <c r="H413" i="35" s="1"/>
  <c r="H412" i="35" s="1"/>
  <c r="U399" i="35"/>
  <c r="U398" i="35" s="1"/>
  <c r="U397" i="35" s="1"/>
  <c r="U396" i="35" s="1"/>
  <c r="N399" i="35"/>
  <c r="N398" i="35" s="1"/>
  <c r="N397" i="35" s="1"/>
  <c r="N396" i="35" s="1"/>
  <c r="H399" i="35"/>
  <c r="H398" i="35" s="1"/>
  <c r="H397" i="35" s="1"/>
  <c r="H396" i="35" s="1"/>
  <c r="H405" i="35"/>
  <c r="H326" i="35"/>
  <c r="N282" i="35"/>
  <c r="U286" i="35"/>
  <c r="U285" i="35" s="1"/>
  <c r="U284" i="35" s="1"/>
  <c r="U283" i="35" s="1"/>
  <c r="N286" i="35"/>
  <c r="N285" i="35" s="1"/>
  <c r="N284" i="35" s="1"/>
  <c r="N283" i="35" s="1"/>
  <c r="H286" i="35"/>
  <c r="H299" i="35"/>
  <c r="H285" i="35" l="1"/>
  <c r="H284" i="35" s="1"/>
  <c r="H283" i="35" s="1"/>
  <c r="V229" i="22"/>
  <c r="U462" i="35"/>
  <c r="T462" i="35"/>
  <c r="S462" i="35"/>
  <c r="R462" i="35"/>
  <c r="Q462" i="35"/>
  <c r="P462" i="35"/>
  <c r="O462" i="35"/>
  <c r="N462" i="35"/>
  <c r="H462" i="35"/>
  <c r="T470" i="35"/>
  <c r="S470" i="35"/>
  <c r="R470" i="35"/>
  <c r="Q470" i="35"/>
  <c r="P470" i="35"/>
  <c r="O470" i="35"/>
  <c r="T466" i="35"/>
  <c r="S466" i="35"/>
  <c r="R466" i="35"/>
  <c r="Q466" i="35"/>
  <c r="P466" i="35"/>
  <c r="O466" i="35"/>
  <c r="U468" i="35"/>
  <c r="T468" i="35"/>
  <c r="S468" i="35"/>
  <c r="R468" i="35"/>
  <c r="Q468" i="35"/>
  <c r="P468" i="35"/>
  <c r="O468" i="35"/>
  <c r="N468" i="35"/>
  <c r="M468" i="35"/>
  <c r="L468" i="35"/>
  <c r="K468" i="35"/>
  <c r="J468" i="35"/>
  <c r="I468" i="35"/>
  <c r="H468" i="35"/>
  <c r="U467" i="35"/>
  <c r="U466" i="35" s="1"/>
  <c r="N467" i="35"/>
  <c r="N466" i="35" s="1"/>
  <c r="J467" i="35"/>
  <c r="I467" i="35"/>
  <c r="H467" i="35"/>
  <c r="H466" i="35" s="1"/>
  <c r="U411" i="35"/>
  <c r="U410" i="35" s="1"/>
  <c r="H410" i="35"/>
  <c r="N410" i="35"/>
  <c r="N409" i="35"/>
  <c r="N408" i="35" s="1"/>
  <c r="N407" i="35" s="1"/>
  <c r="T407" i="35"/>
  <c r="S407" i="35"/>
  <c r="R407" i="35"/>
  <c r="Q407" i="35"/>
  <c r="P407" i="35"/>
  <c r="O407" i="35"/>
  <c r="U189" i="35"/>
  <c r="T189" i="35"/>
  <c r="S189" i="35"/>
  <c r="R189" i="35"/>
  <c r="Q189" i="35"/>
  <c r="P189" i="35"/>
  <c r="O189" i="35"/>
  <c r="H189" i="35"/>
  <c r="T194" i="35"/>
  <c r="S194" i="35"/>
  <c r="R194" i="35"/>
  <c r="Q194" i="35"/>
  <c r="P194" i="35"/>
  <c r="O194" i="35"/>
  <c r="N197" i="35"/>
  <c r="N189" i="35" s="1"/>
  <c r="U196" i="35"/>
  <c r="T196" i="35"/>
  <c r="S196" i="35"/>
  <c r="R196" i="35"/>
  <c r="Q196" i="35"/>
  <c r="P196" i="35"/>
  <c r="O196" i="35"/>
  <c r="M196" i="35"/>
  <c r="L196" i="35"/>
  <c r="K196" i="35"/>
  <c r="J196" i="35"/>
  <c r="I196" i="35"/>
  <c r="H196" i="35"/>
  <c r="U195" i="35"/>
  <c r="U194" i="35" s="1"/>
  <c r="J195" i="35"/>
  <c r="J194" i="35" s="1"/>
  <c r="I195" i="35"/>
  <c r="I194" i="35" s="1"/>
  <c r="H195" i="35"/>
  <c r="H194" i="35" s="1"/>
  <c r="U192" i="35"/>
  <c r="N192" i="35"/>
  <c r="N191" i="35" s="1"/>
  <c r="N190" i="35" s="1"/>
  <c r="H192" i="35"/>
  <c r="U191" i="35"/>
  <c r="U190" i="35" s="1"/>
  <c r="J191" i="35"/>
  <c r="I191" i="35"/>
  <c r="H191" i="35"/>
  <c r="H190" i="35" s="1"/>
  <c r="K201" i="35"/>
  <c r="H203" i="35"/>
  <c r="I203" i="35"/>
  <c r="J203" i="35"/>
  <c r="H204" i="35"/>
  <c r="I204" i="35"/>
  <c r="J204" i="35"/>
  <c r="K204" i="35"/>
  <c r="I207" i="35"/>
  <c r="J207" i="35"/>
  <c r="I208" i="35"/>
  <c r="J208" i="35"/>
  <c r="K208" i="35"/>
  <c r="H208" i="35"/>
  <c r="T423" i="35"/>
  <c r="S423" i="35"/>
  <c r="R423" i="35"/>
  <c r="Q423" i="35"/>
  <c r="P423" i="35"/>
  <c r="O423" i="35"/>
  <c r="T429" i="35"/>
  <c r="S429" i="35"/>
  <c r="R429" i="35"/>
  <c r="Q429" i="35"/>
  <c r="P429" i="35"/>
  <c r="O429" i="35"/>
  <c r="T417" i="35"/>
  <c r="S417" i="35"/>
  <c r="R417" i="35"/>
  <c r="Q417" i="35"/>
  <c r="P417" i="35"/>
  <c r="O417" i="35"/>
  <c r="T401" i="35"/>
  <c r="S401" i="35"/>
  <c r="R401" i="35"/>
  <c r="Q401" i="35"/>
  <c r="P401" i="35"/>
  <c r="O401" i="35"/>
  <c r="T317" i="35"/>
  <c r="S317" i="35"/>
  <c r="R317" i="35"/>
  <c r="Q317" i="35"/>
  <c r="P317" i="35"/>
  <c r="O317" i="35"/>
  <c r="T301" i="35"/>
  <c r="S301" i="35"/>
  <c r="R301" i="35"/>
  <c r="Q301" i="35"/>
  <c r="P301" i="35"/>
  <c r="O301" i="35"/>
  <c r="T290" i="35"/>
  <c r="S290" i="35"/>
  <c r="R290" i="35"/>
  <c r="Q290" i="35"/>
  <c r="P290" i="35"/>
  <c r="O290" i="35"/>
  <c r="T206" i="35"/>
  <c r="T202" i="35" s="1"/>
  <c r="S206" i="35"/>
  <c r="S202" i="35" s="1"/>
  <c r="R206" i="35"/>
  <c r="R202" i="35" s="1"/>
  <c r="Q206" i="35"/>
  <c r="Q202" i="35" s="1"/>
  <c r="P206" i="35"/>
  <c r="P202" i="35" s="1"/>
  <c r="O206" i="35"/>
  <c r="O202" i="35" s="1"/>
  <c r="U210" i="35"/>
  <c r="T210" i="35"/>
  <c r="S210" i="35"/>
  <c r="R210" i="35"/>
  <c r="Q210" i="35"/>
  <c r="P210" i="35"/>
  <c r="O210" i="35"/>
  <c r="H210" i="35"/>
  <c r="U188" i="35"/>
  <c r="T188" i="35"/>
  <c r="S188" i="35"/>
  <c r="R188" i="35"/>
  <c r="Q188" i="35"/>
  <c r="P188" i="35"/>
  <c r="O188" i="35"/>
  <c r="T474" i="35"/>
  <c r="S474" i="35"/>
  <c r="R474" i="35"/>
  <c r="Q474" i="35"/>
  <c r="P474" i="35"/>
  <c r="O474" i="35"/>
  <c r="T239" i="35"/>
  <c r="S239" i="35"/>
  <c r="R239" i="35"/>
  <c r="Q239" i="35"/>
  <c r="P239" i="35"/>
  <c r="O239" i="35"/>
  <c r="N195" i="35" l="1"/>
  <c r="N194" i="35" s="1"/>
  <c r="N196" i="35"/>
  <c r="U409" i="35"/>
  <c r="U408" i="35" s="1"/>
  <c r="U407" i="35" s="1"/>
  <c r="H409" i="35"/>
  <c r="H408" i="35" s="1"/>
  <c r="H407" i="35" s="1"/>
  <c r="J202" i="35"/>
  <c r="J201" i="35" s="1"/>
  <c r="I202" i="35"/>
  <c r="I201" i="35" s="1"/>
  <c r="H207" i="35"/>
  <c r="H206" i="35" s="1"/>
  <c r="H202" i="35" s="1"/>
  <c r="H201" i="35" s="1"/>
  <c r="H188" i="35" s="1"/>
  <c r="H187" i="35" s="1"/>
  <c r="R476" i="22"/>
  <c r="R475" i="22" s="1"/>
  <c r="R474" i="22" s="1"/>
  <c r="R473" i="22" s="1"/>
  <c r="R471" i="22" s="1"/>
  <c r="Q476" i="22"/>
  <c r="Q475" i="22" s="1"/>
  <c r="Q474" i="22" s="1"/>
  <c r="Q473" i="22" s="1"/>
  <c r="Q471" i="22" s="1"/>
  <c r="W475" i="22"/>
  <c r="W474" i="22" s="1"/>
  <c r="W473" i="22" s="1"/>
  <c r="V475" i="22"/>
  <c r="V474" i="22" s="1"/>
  <c r="V473" i="22" s="1"/>
  <c r="N475" i="22"/>
  <c r="N474" i="22" s="1"/>
  <c r="N473" i="22" s="1"/>
  <c r="V260" i="22"/>
  <c r="N260" i="22"/>
  <c r="W233" i="22"/>
  <c r="V233" i="22"/>
  <c r="N233" i="22"/>
  <c r="N230" i="22" s="1"/>
  <c r="W274" i="22"/>
  <c r="W272" i="22" s="1"/>
  <c r="V274" i="22"/>
  <c r="V272" i="22" s="1"/>
  <c r="R274" i="22"/>
  <c r="R272" i="22" s="1"/>
  <c r="Q274" i="22"/>
  <c r="Q272" i="22" s="1"/>
  <c r="P274" i="22"/>
  <c r="P272" i="22" s="1"/>
  <c r="O274" i="22"/>
  <c r="O272" i="22" s="1"/>
  <c r="N274" i="22"/>
  <c r="N272" i="22" s="1"/>
  <c r="N259" i="22" s="1"/>
  <c r="J274" i="22"/>
  <c r="J272" i="22" s="1"/>
  <c r="V273" i="22"/>
  <c r="M272" i="22"/>
  <c r="L272" i="22"/>
  <c r="N273" i="22" l="1"/>
  <c r="W273" i="22"/>
  <c r="V471" i="22"/>
  <c r="V472" i="22"/>
  <c r="N471" i="22"/>
  <c r="N472" i="22"/>
  <c r="W471" i="22"/>
  <c r="W472" i="22"/>
  <c r="W326" i="22"/>
  <c r="W325" i="22" s="1"/>
  <c r="V326" i="22"/>
  <c r="V325" i="22" s="1"/>
  <c r="R446" i="22" l="1"/>
  <c r="Q446" i="22"/>
  <c r="P446" i="22"/>
  <c r="O446" i="22"/>
  <c r="R453" i="22"/>
  <c r="Q453" i="22"/>
  <c r="P453" i="22"/>
  <c r="O453" i="22"/>
  <c r="W455" i="22"/>
  <c r="W454" i="22" s="1"/>
  <c r="V455" i="22"/>
  <c r="V454" i="22" s="1"/>
  <c r="V453" i="22" s="1"/>
  <c r="V448" i="22" s="1"/>
  <c r="R455" i="22"/>
  <c r="Q455" i="22"/>
  <c r="P455" i="22"/>
  <c r="O455" i="22"/>
  <c r="N455" i="22"/>
  <c r="N454" i="22" s="1"/>
  <c r="N453" i="22" s="1"/>
  <c r="N448" i="22" s="1"/>
  <c r="N447" i="22" s="1"/>
  <c r="N446" i="22" s="1"/>
  <c r="N468" i="22"/>
  <c r="N467" i="22" s="1"/>
  <c r="N466" i="22" s="1"/>
  <c r="N465" i="22" s="1"/>
  <c r="N457" i="22" s="1"/>
  <c r="N488" i="22"/>
  <c r="N487" i="22" s="1"/>
  <c r="N486" i="22" s="1"/>
  <c r="N485" i="22" s="1"/>
  <c r="N484" i="22" s="1"/>
  <c r="N483" i="22" s="1"/>
  <c r="N494" i="22"/>
  <c r="N493" i="22" s="1"/>
  <c r="N492" i="22" s="1"/>
  <c r="V468" i="22"/>
  <c r="V467" i="22" s="1"/>
  <c r="V466" i="22" s="1"/>
  <c r="V465" i="22" s="1"/>
  <c r="W468" i="22"/>
  <c r="W467" i="22" s="1"/>
  <c r="W466" i="22" s="1"/>
  <c r="W465" i="22" s="1"/>
  <c r="V486" i="22"/>
  <c r="V485" i="22" s="1"/>
  <c r="V484" i="22" s="1"/>
  <c r="V483" i="22" s="1"/>
  <c r="V446" i="22" l="1"/>
  <c r="V447" i="22"/>
  <c r="N464" i="22"/>
  <c r="N490" i="22"/>
  <c r="N491" i="22"/>
  <c r="V457" i="22"/>
  <c r="V464" i="22"/>
  <c r="W457" i="22"/>
  <c r="W464" i="22"/>
  <c r="W453" i="22"/>
  <c r="W448" i="22" s="1"/>
  <c r="H582" i="35"/>
  <c r="H581" i="35" s="1"/>
  <c r="H580" i="35" s="1"/>
  <c r="H579" i="35" s="1"/>
  <c r="H578" i="35" s="1"/>
  <c r="H577" i="35" s="1"/>
  <c r="H576" i="35" s="1"/>
  <c r="H575" i="35" s="1"/>
  <c r="W446" i="22" l="1"/>
  <c r="W447" i="22"/>
  <c r="N578" i="22"/>
  <c r="V312" i="22" l="1"/>
  <c r="N360" i="35" l="1"/>
  <c r="V371" i="22"/>
  <c r="V365" i="22" s="1"/>
  <c r="N394" i="35"/>
  <c r="V432" i="22"/>
  <c r="V367" i="22" l="1"/>
  <c r="V366" i="22" s="1"/>
  <c r="N393" i="35" l="1"/>
  <c r="N392" i="35" s="1"/>
  <c r="H393" i="35"/>
  <c r="K632" i="35" l="1"/>
  <c r="L632" i="35" s="1"/>
  <c r="U631" i="35"/>
  <c r="U630" i="35" s="1"/>
  <c r="U629" i="35" s="1"/>
  <c r="U628" i="35" s="1"/>
  <c r="U627" i="35" s="1"/>
  <c r="U626" i="35" s="1"/>
  <c r="N631" i="35"/>
  <c r="N630" i="35" s="1"/>
  <c r="N629" i="35" s="1"/>
  <c r="N628" i="35" s="1"/>
  <c r="N627" i="35" s="1"/>
  <c r="N626" i="35" s="1"/>
  <c r="H631" i="35"/>
  <c r="H630" i="35" s="1"/>
  <c r="H629" i="35" s="1"/>
  <c r="H628" i="35" s="1"/>
  <c r="H627" i="35" s="1"/>
  <c r="H626" i="35" s="1"/>
  <c r="J630" i="35"/>
  <c r="J629" i="35" s="1"/>
  <c r="J628" i="35" s="1"/>
  <c r="J627" i="35" s="1"/>
  <c r="J626" i="35" s="1"/>
  <c r="J625" i="35" s="1"/>
  <c r="J624" i="35" s="1"/>
  <c r="I630" i="35"/>
  <c r="I629" i="35" s="1"/>
  <c r="I628" i="35" s="1"/>
  <c r="I627" i="35" s="1"/>
  <c r="I626" i="35" s="1"/>
  <c r="I625" i="35" s="1"/>
  <c r="I624" i="35" s="1"/>
  <c r="U624" i="35"/>
  <c r="N624" i="35"/>
  <c r="K625" i="35"/>
  <c r="H625" i="35"/>
  <c r="H624" i="35" s="1"/>
  <c r="U621" i="35"/>
  <c r="T621" i="35"/>
  <c r="S621" i="35"/>
  <c r="R621" i="35"/>
  <c r="Q621" i="35"/>
  <c r="P621" i="35"/>
  <c r="O621" i="35"/>
  <c r="N621" i="35"/>
  <c r="M621" i="35"/>
  <c r="L621" i="35"/>
  <c r="K621" i="35"/>
  <c r="J621" i="35"/>
  <c r="I621" i="35"/>
  <c r="H621" i="35"/>
  <c r="U618" i="35"/>
  <c r="T618" i="35"/>
  <c r="S618" i="35"/>
  <c r="R618" i="35"/>
  <c r="Q618" i="35"/>
  <c r="P618" i="35"/>
  <c r="O618" i="35"/>
  <c r="N618" i="35"/>
  <c r="M618" i="35"/>
  <c r="L618" i="35"/>
  <c r="K618" i="35"/>
  <c r="J618" i="35"/>
  <c r="I618" i="35"/>
  <c r="H618" i="35"/>
  <c r="U616" i="35"/>
  <c r="T616" i="35"/>
  <c r="S616" i="35"/>
  <c r="R616" i="35"/>
  <c r="Q616" i="35"/>
  <c r="P616" i="35"/>
  <c r="O616" i="35"/>
  <c r="N616" i="35"/>
  <c r="M616" i="35"/>
  <c r="L616" i="35"/>
  <c r="K616" i="35"/>
  <c r="J616" i="35"/>
  <c r="I616" i="35"/>
  <c r="H616" i="35"/>
  <c r="U615" i="35"/>
  <c r="U614" i="35" s="1"/>
  <c r="U613" i="35" s="1"/>
  <c r="U612" i="35" s="1"/>
  <c r="U611" i="35" s="1"/>
  <c r="N615" i="35"/>
  <c r="N614" i="35" s="1"/>
  <c r="N613" i="35" s="1"/>
  <c r="N612" i="35" s="1"/>
  <c r="N611" i="35" s="1"/>
  <c r="J615" i="35"/>
  <c r="J614" i="35" s="1"/>
  <c r="J613" i="35" s="1"/>
  <c r="I615" i="35"/>
  <c r="I614" i="35" s="1"/>
  <c r="I613" i="35" s="1"/>
  <c r="T612" i="35"/>
  <c r="S612" i="35"/>
  <c r="R612" i="35"/>
  <c r="Q612" i="35"/>
  <c r="P612" i="35"/>
  <c r="O612" i="35"/>
  <c r="U609" i="35"/>
  <c r="T609" i="35"/>
  <c r="S609" i="35"/>
  <c r="R609" i="35"/>
  <c r="Q609" i="35"/>
  <c r="P609" i="35"/>
  <c r="O609" i="35"/>
  <c r="N609" i="35"/>
  <c r="M609" i="35"/>
  <c r="L609" i="35"/>
  <c r="K609" i="35"/>
  <c r="J609" i="35"/>
  <c r="I609" i="35"/>
  <c r="H608" i="35"/>
  <c r="H607" i="35" s="1"/>
  <c r="H606" i="35" s="1"/>
  <c r="U607" i="35"/>
  <c r="U606" i="35" s="1"/>
  <c r="U605" i="35" s="1"/>
  <c r="U604" i="35" s="1"/>
  <c r="U597" i="35" s="1"/>
  <c r="U596" i="35" s="1"/>
  <c r="N607" i="35"/>
  <c r="N606" i="35" s="1"/>
  <c r="N605" i="35" s="1"/>
  <c r="N604" i="35" s="1"/>
  <c r="K604" i="35"/>
  <c r="L604" i="35" s="1"/>
  <c r="J602" i="35"/>
  <c r="J601" i="35" s="1"/>
  <c r="J600" i="35" s="1"/>
  <c r="J599" i="35" s="1"/>
  <c r="J598" i="35" s="1"/>
  <c r="I602" i="35"/>
  <c r="I601" i="35" s="1"/>
  <c r="I600" i="35" s="1"/>
  <c r="I599" i="35" s="1"/>
  <c r="I598" i="35" s="1"/>
  <c r="K597" i="35"/>
  <c r="U594" i="35"/>
  <c r="U593" i="35" s="1"/>
  <c r="N594" i="35"/>
  <c r="N593" i="35" s="1"/>
  <c r="J594" i="35"/>
  <c r="J593" i="35" s="1"/>
  <c r="I594" i="35"/>
  <c r="I593" i="35" s="1"/>
  <c r="H594" i="35"/>
  <c r="H593" i="35" s="1"/>
  <c r="U588" i="35"/>
  <c r="U587" i="35" s="1"/>
  <c r="U586" i="35" s="1"/>
  <c r="U585" i="35" s="1"/>
  <c r="N588" i="35"/>
  <c r="N587" i="35" s="1"/>
  <c r="N586" i="35" s="1"/>
  <c r="N585" i="35" s="1"/>
  <c r="H588" i="35"/>
  <c r="H587" i="35" s="1"/>
  <c r="H586" i="35" s="1"/>
  <c r="H585" i="35" s="1"/>
  <c r="U572" i="35"/>
  <c r="U571" i="35" s="1"/>
  <c r="U570" i="35" s="1"/>
  <c r="N572" i="35"/>
  <c r="J572" i="35"/>
  <c r="I572" i="35"/>
  <c r="I571" i="35" s="1"/>
  <c r="I570" i="35" s="1"/>
  <c r="H572" i="35"/>
  <c r="H571" i="35" s="1"/>
  <c r="H570" i="35" s="1"/>
  <c r="N571" i="35"/>
  <c r="N570" i="35" s="1"/>
  <c r="J571" i="35"/>
  <c r="J570" i="35" s="1"/>
  <c r="N569" i="35"/>
  <c r="N567" i="35" s="1"/>
  <c r="N566" i="35" s="1"/>
  <c r="N565" i="35" s="1"/>
  <c r="N563" i="35" s="1"/>
  <c r="N562" i="35" s="1"/>
  <c r="U568" i="35"/>
  <c r="H568" i="35"/>
  <c r="U567" i="35"/>
  <c r="U566" i="35" s="1"/>
  <c r="U565" i="35" s="1"/>
  <c r="U563" i="35" s="1"/>
  <c r="U562" i="35" s="1"/>
  <c r="J567" i="35"/>
  <c r="J566" i="35" s="1"/>
  <c r="I567" i="35"/>
  <c r="I566" i="35" s="1"/>
  <c r="H567" i="35"/>
  <c r="H566" i="35" s="1"/>
  <c r="H565" i="35" s="1"/>
  <c r="H563" i="35" s="1"/>
  <c r="H562" i="35" s="1"/>
  <c r="U560" i="35"/>
  <c r="U559" i="35" s="1"/>
  <c r="N560" i="35"/>
  <c r="N558" i="35" s="1"/>
  <c r="N557" i="35" s="1"/>
  <c r="H560" i="35"/>
  <c r="H559" i="35" s="1"/>
  <c r="T559" i="35"/>
  <c r="S559" i="35"/>
  <c r="R559" i="35"/>
  <c r="Q559" i="35"/>
  <c r="P559" i="35"/>
  <c r="O559" i="35"/>
  <c r="N559" i="35"/>
  <c r="M559" i="35"/>
  <c r="L559" i="35"/>
  <c r="K559" i="35"/>
  <c r="J559" i="35"/>
  <c r="I559" i="35"/>
  <c r="U558" i="35"/>
  <c r="U557" i="35" s="1"/>
  <c r="U555" i="35"/>
  <c r="T555" i="35"/>
  <c r="S555" i="35"/>
  <c r="R555" i="35"/>
  <c r="Q555" i="35"/>
  <c r="P555" i="35"/>
  <c r="O555" i="35"/>
  <c r="N555" i="35"/>
  <c r="M555" i="35"/>
  <c r="L555" i="35"/>
  <c r="K555" i="35"/>
  <c r="J555" i="35"/>
  <c r="I555" i="35"/>
  <c r="H555" i="35"/>
  <c r="U554" i="35"/>
  <c r="U553" i="35" s="1"/>
  <c r="N554" i="35"/>
  <c r="J554" i="35"/>
  <c r="I554" i="35"/>
  <c r="I553" i="35" s="1"/>
  <c r="H554" i="35"/>
  <c r="H553" i="35" s="1"/>
  <c r="N553" i="35"/>
  <c r="J553" i="35"/>
  <c r="U550" i="35"/>
  <c r="N550" i="35"/>
  <c r="J550" i="35"/>
  <c r="I550" i="35"/>
  <c r="H550" i="35"/>
  <c r="U548" i="35"/>
  <c r="N548" i="35"/>
  <c r="J548" i="35"/>
  <c r="I548" i="35"/>
  <c r="H548" i="35"/>
  <c r="U545" i="35"/>
  <c r="U544" i="35" s="1"/>
  <c r="N545" i="35"/>
  <c r="N544" i="35" s="1"/>
  <c r="J545" i="35"/>
  <c r="J544" i="35" s="1"/>
  <c r="I545" i="35"/>
  <c r="I544" i="35" s="1"/>
  <c r="H545" i="35"/>
  <c r="H544" i="35" s="1"/>
  <c r="U537" i="35"/>
  <c r="U536" i="35" s="1"/>
  <c r="U535" i="35" s="1"/>
  <c r="U534" i="35" s="1"/>
  <c r="U533" i="35" s="1"/>
  <c r="N537" i="35"/>
  <c r="J537" i="35"/>
  <c r="J536" i="35" s="1"/>
  <c r="J535" i="35" s="1"/>
  <c r="J534" i="35" s="1"/>
  <c r="J533" i="35" s="1"/>
  <c r="I537" i="35"/>
  <c r="I536" i="35" s="1"/>
  <c r="I535" i="35" s="1"/>
  <c r="I534" i="35" s="1"/>
  <c r="I533" i="35" s="1"/>
  <c r="H537" i="35"/>
  <c r="H536" i="35" s="1"/>
  <c r="H535" i="35" s="1"/>
  <c r="H534" i="35" s="1"/>
  <c r="H533" i="35" s="1"/>
  <c r="N536" i="35"/>
  <c r="N535" i="35" s="1"/>
  <c r="N534" i="35" s="1"/>
  <c r="N533" i="35" s="1"/>
  <c r="U529" i="35"/>
  <c r="U528" i="35" s="1"/>
  <c r="U527" i="35" s="1"/>
  <c r="N529" i="35"/>
  <c r="N528" i="35" s="1"/>
  <c r="N527" i="35" s="1"/>
  <c r="H529" i="35"/>
  <c r="H528" i="35" s="1"/>
  <c r="H527" i="35" s="1"/>
  <c r="U525" i="35"/>
  <c r="U524" i="35" s="1"/>
  <c r="U523" i="35" s="1"/>
  <c r="N525" i="35"/>
  <c r="J525" i="35"/>
  <c r="J524" i="35" s="1"/>
  <c r="J523" i="35" s="1"/>
  <c r="J522" i="35" s="1"/>
  <c r="J521" i="35" s="1"/>
  <c r="I525" i="35"/>
  <c r="I524" i="35" s="1"/>
  <c r="I523" i="35" s="1"/>
  <c r="I522" i="35" s="1"/>
  <c r="I521" i="35" s="1"/>
  <c r="H525" i="35"/>
  <c r="H524" i="35" s="1"/>
  <c r="H523" i="35" s="1"/>
  <c r="N524" i="35"/>
  <c r="N523" i="35" s="1"/>
  <c r="U519" i="35"/>
  <c r="T519" i="35"/>
  <c r="S519" i="35"/>
  <c r="R519" i="35"/>
  <c r="Q519" i="35"/>
  <c r="P519" i="35"/>
  <c r="O519" i="35"/>
  <c r="N519" i="35"/>
  <c r="M519" i="35"/>
  <c r="L519" i="35"/>
  <c r="K519" i="35"/>
  <c r="J519" i="35"/>
  <c r="I519" i="35"/>
  <c r="H519" i="35"/>
  <c r="U518" i="35"/>
  <c r="U517" i="35" s="1"/>
  <c r="U516" i="35" s="1"/>
  <c r="U515" i="35" s="1"/>
  <c r="U514" i="35" s="1"/>
  <c r="N518" i="35"/>
  <c r="N517" i="35" s="1"/>
  <c r="N516" i="35" s="1"/>
  <c r="N515" i="35" s="1"/>
  <c r="N514" i="35" s="1"/>
  <c r="J518" i="35"/>
  <c r="J517" i="35" s="1"/>
  <c r="J516" i="35" s="1"/>
  <c r="J515" i="35" s="1"/>
  <c r="J514" i="35" s="1"/>
  <c r="I518" i="35"/>
  <c r="I517" i="35" s="1"/>
  <c r="I516" i="35" s="1"/>
  <c r="I515" i="35" s="1"/>
  <c r="I514" i="35" s="1"/>
  <c r="H518" i="35"/>
  <c r="H517" i="35" s="1"/>
  <c r="H516" i="35" s="1"/>
  <c r="H515" i="35" s="1"/>
  <c r="H514" i="35" s="1"/>
  <c r="U511" i="35"/>
  <c r="U510" i="35" s="1"/>
  <c r="T510" i="35"/>
  <c r="S510" i="35"/>
  <c r="R510" i="35"/>
  <c r="Q510" i="35"/>
  <c r="P510" i="35"/>
  <c r="O510" i="35"/>
  <c r="N510" i="35"/>
  <c r="M510" i="35"/>
  <c r="L510" i="35"/>
  <c r="K510" i="35"/>
  <c r="J510" i="35"/>
  <c r="I510" i="35"/>
  <c r="H510" i="35"/>
  <c r="N509" i="35"/>
  <c r="N508" i="35" s="1"/>
  <c r="N507" i="35" s="1"/>
  <c r="N506" i="35" s="1"/>
  <c r="N505" i="35" s="1"/>
  <c r="H509" i="35"/>
  <c r="H508" i="35" s="1"/>
  <c r="H507" i="35" s="1"/>
  <c r="H506" i="35" s="1"/>
  <c r="H505" i="35" s="1"/>
  <c r="J508" i="35"/>
  <c r="J507" i="35" s="1"/>
  <c r="I508" i="35"/>
  <c r="I507" i="35" s="1"/>
  <c r="J505" i="35"/>
  <c r="J501" i="35" s="1"/>
  <c r="I505" i="35"/>
  <c r="I501" i="35" s="1"/>
  <c r="Z504" i="35"/>
  <c r="N504" i="35"/>
  <c r="N503" i="35" s="1"/>
  <c r="H504" i="35"/>
  <c r="H503" i="35" s="1"/>
  <c r="U503" i="35"/>
  <c r="T503" i="35"/>
  <c r="S503" i="35"/>
  <c r="R503" i="35"/>
  <c r="Q503" i="35"/>
  <c r="P503" i="35"/>
  <c r="O503" i="35"/>
  <c r="M503" i="35"/>
  <c r="L503" i="35"/>
  <c r="K503" i="35"/>
  <c r="J503" i="35"/>
  <c r="I503" i="35"/>
  <c r="U502" i="35"/>
  <c r="U500" i="35"/>
  <c r="N500" i="35"/>
  <c r="H500" i="35"/>
  <c r="U498" i="35"/>
  <c r="U497" i="35" s="1"/>
  <c r="N498" i="35"/>
  <c r="J498" i="35"/>
  <c r="I498" i="35"/>
  <c r="H498" i="35"/>
  <c r="H497" i="35" s="1"/>
  <c r="N497" i="35"/>
  <c r="U495" i="35"/>
  <c r="T495" i="35"/>
  <c r="S495" i="35"/>
  <c r="R495" i="35"/>
  <c r="Q495" i="35"/>
  <c r="P495" i="35"/>
  <c r="O495" i="35"/>
  <c r="N495" i="35"/>
  <c r="M495" i="35"/>
  <c r="L495" i="35"/>
  <c r="K495" i="35"/>
  <c r="J495" i="35"/>
  <c r="I495" i="35"/>
  <c r="H495" i="35"/>
  <c r="Z494" i="35"/>
  <c r="U494" i="35"/>
  <c r="U493" i="35" s="1"/>
  <c r="H494" i="35"/>
  <c r="T493" i="35"/>
  <c r="S493" i="35"/>
  <c r="R493" i="35"/>
  <c r="Q493" i="35"/>
  <c r="P493" i="35"/>
  <c r="O493" i="35"/>
  <c r="N493" i="35"/>
  <c r="M493" i="35"/>
  <c r="L493" i="35"/>
  <c r="K493" i="35"/>
  <c r="J493" i="35"/>
  <c r="I493" i="35"/>
  <c r="U491" i="35"/>
  <c r="T491" i="35"/>
  <c r="S491" i="35"/>
  <c r="R491" i="35"/>
  <c r="Q491" i="35"/>
  <c r="P491" i="35"/>
  <c r="O491" i="35"/>
  <c r="N491" i="35"/>
  <c r="M491" i="35"/>
  <c r="L491" i="35"/>
  <c r="K491" i="35"/>
  <c r="J491" i="35"/>
  <c r="I491" i="35"/>
  <c r="H491" i="35"/>
  <c r="N490" i="35"/>
  <c r="J490" i="35"/>
  <c r="J489" i="35" s="1"/>
  <c r="J488" i="35" s="1"/>
  <c r="J487" i="35" s="1"/>
  <c r="I490" i="35"/>
  <c r="I489" i="35" s="1"/>
  <c r="I488" i="35" s="1"/>
  <c r="I487" i="35" s="1"/>
  <c r="K487" i="35"/>
  <c r="U483" i="35"/>
  <c r="U482" i="35" s="1"/>
  <c r="N483" i="35"/>
  <c r="N482" i="35" s="1"/>
  <c r="H483" i="35"/>
  <c r="H482" i="35" s="1"/>
  <c r="U480" i="35"/>
  <c r="U479" i="35" s="1"/>
  <c r="N480" i="35"/>
  <c r="N479" i="35" s="1"/>
  <c r="H480" i="35"/>
  <c r="H479" i="35" s="1"/>
  <c r="U478" i="35"/>
  <c r="N478" i="35"/>
  <c r="H478" i="35"/>
  <c r="U476" i="35"/>
  <c r="T476" i="35"/>
  <c r="S476" i="35"/>
  <c r="R476" i="35"/>
  <c r="Q476" i="35"/>
  <c r="P476" i="35"/>
  <c r="O476" i="35"/>
  <c r="N476" i="35"/>
  <c r="M476" i="35"/>
  <c r="L476" i="35"/>
  <c r="K476" i="35"/>
  <c r="J476" i="35"/>
  <c r="I476" i="35"/>
  <c r="H476" i="35"/>
  <c r="U475" i="35"/>
  <c r="U474" i="35" s="1"/>
  <c r="N475" i="35"/>
  <c r="N474" i="35" s="1"/>
  <c r="J475" i="35"/>
  <c r="J470" i="35" s="1"/>
  <c r="I475" i="35"/>
  <c r="I470" i="35" s="1"/>
  <c r="H475" i="35"/>
  <c r="H474" i="35" s="1"/>
  <c r="U472" i="35"/>
  <c r="T472" i="35"/>
  <c r="S472" i="35"/>
  <c r="R472" i="35"/>
  <c r="Q472" i="35"/>
  <c r="P472" i="35"/>
  <c r="O472" i="35"/>
  <c r="N472" i="35"/>
  <c r="H472" i="35"/>
  <c r="U471" i="35"/>
  <c r="U470" i="35" s="1"/>
  <c r="N471" i="35"/>
  <c r="N470" i="35" s="1"/>
  <c r="H471" i="35"/>
  <c r="H470" i="35" s="1"/>
  <c r="H461" i="35" s="1"/>
  <c r="U464" i="35"/>
  <c r="U463" i="35" s="1"/>
  <c r="N464" i="35"/>
  <c r="N463" i="35" s="1"/>
  <c r="J464" i="35"/>
  <c r="J463" i="35" s="1"/>
  <c r="I464" i="35"/>
  <c r="I463" i="35" s="1"/>
  <c r="H464" i="35"/>
  <c r="H463" i="35" s="1"/>
  <c r="U457" i="35"/>
  <c r="N457" i="35"/>
  <c r="H457" i="35"/>
  <c r="H445" i="35" s="1"/>
  <c r="H444" i="35" s="1"/>
  <c r="H443" i="35" s="1"/>
  <c r="U455" i="35"/>
  <c r="T455" i="35"/>
  <c r="S455" i="35"/>
  <c r="R455" i="35"/>
  <c r="Q455" i="35"/>
  <c r="P455" i="35"/>
  <c r="O455" i="35"/>
  <c r="N455" i="35"/>
  <c r="M455" i="35"/>
  <c r="L455" i="35"/>
  <c r="K455" i="35"/>
  <c r="J455" i="35"/>
  <c r="I455" i="35"/>
  <c r="H455" i="35"/>
  <c r="U453" i="35"/>
  <c r="T453" i="35"/>
  <c r="S453" i="35"/>
  <c r="R453" i="35"/>
  <c r="Q453" i="35"/>
  <c r="P453" i="35"/>
  <c r="O453" i="35"/>
  <c r="N453" i="35"/>
  <c r="H453" i="35"/>
  <c r="U452" i="35"/>
  <c r="U445" i="35" s="1"/>
  <c r="U444" i="35" s="1"/>
  <c r="U443" i="35" s="1"/>
  <c r="T452" i="35"/>
  <c r="S452" i="35"/>
  <c r="R452" i="35"/>
  <c r="Q452" i="35"/>
  <c r="P452" i="35"/>
  <c r="O452" i="35"/>
  <c r="N452" i="35"/>
  <c r="N445" i="35" s="1"/>
  <c r="N444" i="35" s="1"/>
  <c r="N443" i="35" s="1"/>
  <c r="H452" i="35"/>
  <c r="U450" i="35"/>
  <c r="U449" i="35" s="1"/>
  <c r="N450" i="35"/>
  <c r="N449" i="35" s="1"/>
  <c r="H450" i="35"/>
  <c r="H449" i="35" s="1"/>
  <c r="H447" i="35"/>
  <c r="H446" i="35" s="1"/>
  <c r="U446" i="35"/>
  <c r="T446" i="35"/>
  <c r="S446" i="35"/>
  <c r="R446" i="35"/>
  <c r="Q446" i="35"/>
  <c r="P446" i="35"/>
  <c r="O446" i="35"/>
  <c r="N446" i="35"/>
  <c r="N442" i="35"/>
  <c r="N441" i="35" s="1"/>
  <c r="U441" i="35"/>
  <c r="T441" i="35"/>
  <c r="S441" i="35"/>
  <c r="R441" i="35"/>
  <c r="Q441" i="35"/>
  <c r="P441" i="35"/>
  <c r="O441" i="35"/>
  <c r="M441" i="35"/>
  <c r="L441" i="35"/>
  <c r="K441" i="35"/>
  <c r="J441" i="35"/>
  <c r="I441" i="35"/>
  <c r="H441" i="35"/>
  <c r="U440" i="35"/>
  <c r="U439" i="35" s="1"/>
  <c r="H440" i="35"/>
  <c r="H439" i="35" s="1"/>
  <c r="U435" i="35"/>
  <c r="T435" i="35"/>
  <c r="S435" i="35"/>
  <c r="R435" i="35"/>
  <c r="Q435" i="35"/>
  <c r="P435" i="35"/>
  <c r="O435" i="35"/>
  <c r="N435" i="35"/>
  <c r="M435" i="35"/>
  <c r="L435" i="35"/>
  <c r="K435" i="35"/>
  <c r="J435" i="35"/>
  <c r="I435" i="35"/>
  <c r="H435" i="35"/>
  <c r="U434" i="35"/>
  <c r="U430" i="35" s="1"/>
  <c r="N434" i="35"/>
  <c r="N430" i="35" s="1"/>
  <c r="H434" i="35"/>
  <c r="H430" i="35" s="1"/>
  <c r="U427" i="35"/>
  <c r="U426" i="35" s="1"/>
  <c r="H427" i="35"/>
  <c r="H425" i="35" s="1"/>
  <c r="H424" i="35" s="1"/>
  <c r="H423" i="35" s="1"/>
  <c r="N426" i="35"/>
  <c r="N425" i="35"/>
  <c r="N424" i="35" s="1"/>
  <c r="N423" i="35" s="1"/>
  <c r="U421" i="35"/>
  <c r="U420" i="35" s="1"/>
  <c r="U419" i="35" s="1"/>
  <c r="U418" i="35" s="1"/>
  <c r="U417" i="35" s="1"/>
  <c r="N421" i="35"/>
  <c r="N420" i="35" s="1"/>
  <c r="N419" i="35" s="1"/>
  <c r="N418" i="35" s="1"/>
  <c r="N417" i="35" s="1"/>
  <c r="H421" i="35"/>
  <c r="U404" i="35"/>
  <c r="N404" i="35"/>
  <c r="H404" i="35"/>
  <c r="U403" i="35"/>
  <c r="U402" i="35" s="1"/>
  <c r="N403" i="35"/>
  <c r="N402" i="35" s="1"/>
  <c r="H403" i="35"/>
  <c r="H402" i="35" s="1"/>
  <c r="U304" i="35"/>
  <c r="U303" i="35" s="1"/>
  <c r="U302" i="35" s="1"/>
  <c r="N304" i="35"/>
  <c r="N303" i="35" s="1"/>
  <c r="N302" i="35" s="1"/>
  <c r="H304" i="35"/>
  <c r="H303" i="35" s="1"/>
  <c r="H302" i="35" s="1"/>
  <c r="H301" i="35" s="1"/>
  <c r="H300" i="35" s="1"/>
  <c r="U392" i="35"/>
  <c r="U388" i="35" s="1"/>
  <c r="U387" i="35" s="1"/>
  <c r="U386" i="35" s="1"/>
  <c r="N388" i="35"/>
  <c r="N387" i="35" s="1"/>
  <c r="N386" i="35" s="1"/>
  <c r="H392" i="35"/>
  <c r="H388" i="35" s="1"/>
  <c r="H384" i="35"/>
  <c r="H383" i="35" s="1"/>
  <c r="H382" i="35" s="1"/>
  <c r="U381" i="35"/>
  <c r="U380" i="35" s="1"/>
  <c r="N381" i="35"/>
  <c r="N380" i="35" s="1"/>
  <c r="H381" i="35"/>
  <c r="H380" i="35" s="1"/>
  <c r="J380" i="35"/>
  <c r="I380" i="35"/>
  <c r="U376" i="35"/>
  <c r="N376" i="35"/>
  <c r="J376" i="35"/>
  <c r="I376" i="35"/>
  <c r="H376" i="35"/>
  <c r="U373" i="35"/>
  <c r="N373" i="35"/>
  <c r="J373" i="35"/>
  <c r="I373" i="35"/>
  <c r="H373" i="35"/>
  <c r="U371" i="35"/>
  <c r="N371" i="35"/>
  <c r="J371" i="35"/>
  <c r="I371" i="35"/>
  <c r="H371" i="35"/>
  <c r="J367" i="35"/>
  <c r="J366" i="35" s="1"/>
  <c r="J365" i="35" s="1"/>
  <c r="I367" i="35"/>
  <c r="I366" i="35" s="1"/>
  <c r="I365" i="35" s="1"/>
  <c r="U366" i="35"/>
  <c r="N366" i="35"/>
  <c r="H366" i="35"/>
  <c r="U365" i="35"/>
  <c r="N365" i="35"/>
  <c r="H365" i="35"/>
  <c r="U363" i="35"/>
  <c r="U362" i="35" s="1"/>
  <c r="N363" i="35"/>
  <c r="H362" i="35"/>
  <c r="T362" i="35"/>
  <c r="S362" i="35"/>
  <c r="R362" i="35"/>
  <c r="Q362" i="35"/>
  <c r="P362" i="35"/>
  <c r="O362" i="35"/>
  <c r="N362" i="35"/>
  <c r="M362" i="35"/>
  <c r="L362" i="35"/>
  <c r="K362" i="35"/>
  <c r="J362" i="35"/>
  <c r="I362" i="35"/>
  <c r="J361" i="35"/>
  <c r="I361" i="35"/>
  <c r="U360" i="35"/>
  <c r="H360" i="35"/>
  <c r="H358" i="35" s="1"/>
  <c r="T359" i="35"/>
  <c r="S359" i="35"/>
  <c r="R359" i="35"/>
  <c r="Q359" i="35"/>
  <c r="P359" i="35"/>
  <c r="O359" i="35"/>
  <c r="M359" i="35"/>
  <c r="L359" i="35"/>
  <c r="K359" i="35"/>
  <c r="J359" i="35"/>
  <c r="I359" i="35"/>
  <c r="H359" i="35"/>
  <c r="J358" i="35"/>
  <c r="I358" i="35"/>
  <c r="K356" i="35"/>
  <c r="U352" i="35"/>
  <c r="N352" i="35"/>
  <c r="H352" i="35"/>
  <c r="U350" i="35"/>
  <c r="U349" i="35" s="1"/>
  <c r="N350" i="35"/>
  <c r="N349" i="35" s="1"/>
  <c r="H350" i="35"/>
  <c r="H349" i="35" s="1"/>
  <c r="H347" i="35"/>
  <c r="H346" i="35" s="1"/>
  <c r="U345" i="35"/>
  <c r="U341" i="35" s="1"/>
  <c r="U340" i="35" s="1"/>
  <c r="N345" i="35"/>
  <c r="N341" i="35" s="1"/>
  <c r="N340" i="35" s="1"/>
  <c r="H345" i="35"/>
  <c r="H341" i="35" s="1"/>
  <c r="H340" i="35" s="1"/>
  <c r="U343" i="35"/>
  <c r="N343" i="35"/>
  <c r="H343" i="35"/>
  <c r="H342" i="35" s="1"/>
  <c r="H335" i="35"/>
  <c r="H334" i="35"/>
  <c r="H333" i="35" s="1"/>
  <c r="H332" i="35" s="1"/>
  <c r="H331" i="35"/>
  <c r="J330" i="35"/>
  <c r="J329" i="35" s="1"/>
  <c r="J328" i="35" s="1"/>
  <c r="J327" i="35" s="1"/>
  <c r="I330" i="35"/>
  <c r="I329" i="35" s="1"/>
  <c r="I328" i="35" s="1"/>
  <c r="I327" i="35" s="1"/>
  <c r="U329" i="35"/>
  <c r="U328" i="35" s="1"/>
  <c r="U327" i="35" s="1"/>
  <c r="N329" i="35"/>
  <c r="N328" i="35" s="1"/>
  <c r="N327" i="35" s="1"/>
  <c r="H329" i="35"/>
  <c r="H328" i="35" s="1"/>
  <c r="H327" i="35" s="1"/>
  <c r="U326" i="35"/>
  <c r="U325" i="35" s="1"/>
  <c r="N326" i="35"/>
  <c r="N322" i="35" s="1"/>
  <c r="N318" i="35" s="1"/>
  <c r="N317" i="35" s="1"/>
  <c r="T325" i="35"/>
  <c r="S325" i="35"/>
  <c r="R325" i="35"/>
  <c r="Q325" i="35"/>
  <c r="P325" i="35"/>
  <c r="O325" i="35"/>
  <c r="M325" i="35"/>
  <c r="L325" i="35"/>
  <c r="K325" i="35"/>
  <c r="J325" i="35"/>
  <c r="I325" i="35"/>
  <c r="U323" i="35"/>
  <c r="T323" i="35"/>
  <c r="S323" i="35"/>
  <c r="R323" i="35"/>
  <c r="Q323" i="35"/>
  <c r="P323" i="35"/>
  <c r="O323" i="35"/>
  <c r="N323" i="35"/>
  <c r="M323" i="35"/>
  <c r="L323" i="35"/>
  <c r="K323" i="35"/>
  <c r="J323" i="35"/>
  <c r="I323" i="35"/>
  <c r="H323" i="35"/>
  <c r="U315" i="35"/>
  <c r="U312" i="35" s="1"/>
  <c r="U311" i="35" s="1"/>
  <c r="N315" i="35"/>
  <c r="N312" i="35" s="1"/>
  <c r="N311" i="35" s="1"/>
  <c r="J315" i="35"/>
  <c r="J312" i="35" s="1"/>
  <c r="J311" i="35" s="1"/>
  <c r="J310" i="35" s="1"/>
  <c r="I315" i="35"/>
  <c r="I312" i="35" s="1"/>
  <c r="I311" i="35" s="1"/>
  <c r="I310" i="35" s="1"/>
  <c r="H315" i="35"/>
  <c r="H314" i="35"/>
  <c r="H312" i="35"/>
  <c r="H311" i="35" s="1"/>
  <c r="K311" i="35"/>
  <c r="AA299" i="35"/>
  <c r="U298" i="35"/>
  <c r="T298" i="35"/>
  <c r="S298" i="35"/>
  <c r="R298" i="35"/>
  <c r="Q298" i="35"/>
  <c r="P298" i="35"/>
  <c r="O298" i="35"/>
  <c r="N298" i="35"/>
  <c r="M298" i="35"/>
  <c r="L298" i="35"/>
  <c r="K298" i="35"/>
  <c r="J298" i="35"/>
  <c r="I298" i="35"/>
  <c r="H298" i="35"/>
  <c r="U297" i="35"/>
  <c r="N297" i="35"/>
  <c r="H297" i="35"/>
  <c r="H295" i="35"/>
  <c r="H294" i="35"/>
  <c r="H292" i="35" s="1"/>
  <c r="U293" i="35"/>
  <c r="T293" i="35"/>
  <c r="S293" i="35"/>
  <c r="R293" i="35"/>
  <c r="Q293" i="35"/>
  <c r="P293" i="35"/>
  <c r="O293" i="35"/>
  <c r="N293" i="35"/>
  <c r="M293" i="35"/>
  <c r="L293" i="35"/>
  <c r="K293" i="35"/>
  <c r="J293" i="35"/>
  <c r="I293" i="35"/>
  <c r="U292" i="35"/>
  <c r="U291" i="35" s="1"/>
  <c r="N292" i="35"/>
  <c r="N291" i="35" s="1"/>
  <c r="N290" i="35" s="1"/>
  <c r="J292" i="35"/>
  <c r="J291" i="35" s="1"/>
  <c r="J282" i="35" s="1"/>
  <c r="I292" i="35"/>
  <c r="I291" i="35" s="1"/>
  <c r="I282" i="35" s="1"/>
  <c r="K282" i="35"/>
  <c r="U279" i="35"/>
  <c r="T279" i="35"/>
  <c r="S279" i="35"/>
  <c r="R279" i="35"/>
  <c r="Q279" i="35"/>
  <c r="P279" i="35"/>
  <c r="O279" i="35"/>
  <c r="N279" i="35"/>
  <c r="M279" i="35"/>
  <c r="L279" i="35"/>
  <c r="K279" i="35"/>
  <c r="J279" i="35"/>
  <c r="I279" i="35"/>
  <c r="H279" i="35"/>
  <c r="U278" i="35"/>
  <c r="N278" i="35"/>
  <c r="J278" i="35"/>
  <c r="I278" i="35"/>
  <c r="H278" i="35"/>
  <c r="H276" i="35"/>
  <c r="U274" i="35"/>
  <c r="N274" i="35"/>
  <c r="J274" i="35"/>
  <c r="I274" i="35"/>
  <c r="H274" i="35"/>
  <c r="H271" i="35" s="1"/>
  <c r="U272" i="35"/>
  <c r="N272" i="35"/>
  <c r="J272" i="35"/>
  <c r="I272" i="35"/>
  <c r="H272" i="35"/>
  <c r="H267" i="35"/>
  <c r="H266" i="35" s="1"/>
  <c r="H265" i="35" s="1"/>
  <c r="H263" i="35"/>
  <c r="H262" i="35" s="1"/>
  <c r="H261" i="35" s="1"/>
  <c r="N256" i="35"/>
  <c r="N255" i="35" s="1"/>
  <c r="H256" i="35"/>
  <c r="U255" i="35"/>
  <c r="T255" i="35"/>
  <c r="S255" i="35"/>
  <c r="R255" i="35"/>
  <c r="Q255" i="35"/>
  <c r="P255" i="35"/>
  <c r="O255" i="35"/>
  <c r="M255" i="35"/>
  <c r="L255" i="35"/>
  <c r="K255" i="35"/>
  <c r="J255" i="35"/>
  <c r="I255" i="35"/>
  <c r="U254" i="35"/>
  <c r="J254" i="35"/>
  <c r="I254" i="35"/>
  <c r="U252" i="35"/>
  <c r="T252" i="35"/>
  <c r="S252" i="35"/>
  <c r="R252" i="35"/>
  <c r="Q252" i="35"/>
  <c r="P252" i="35"/>
  <c r="O252" i="35"/>
  <c r="N252" i="35"/>
  <c r="M252" i="35"/>
  <c r="L252" i="35"/>
  <c r="K252" i="35"/>
  <c r="J252" i="35"/>
  <c r="I252" i="35"/>
  <c r="H252" i="35"/>
  <c r="U251" i="35"/>
  <c r="N251" i="35"/>
  <c r="J251" i="35"/>
  <c r="I251" i="35"/>
  <c r="H251" i="35"/>
  <c r="N250" i="35"/>
  <c r="N249" i="35" s="1"/>
  <c r="H250" i="35"/>
  <c r="H249" i="35" s="1"/>
  <c r="U249" i="35"/>
  <c r="T249" i="35"/>
  <c r="S249" i="35"/>
  <c r="R249" i="35"/>
  <c r="Q249" i="35"/>
  <c r="P249" i="35"/>
  <c r="O249" i="35"/>
  <c r="M249" i="35"/>
  <c r="L249" i="35"/>
  <c r="K249" i="35"/>
  <c r="J249" i="35"/>
  <c r="I249" i="35"/>
  <c r="U248" i="35"/>
  <c r="J248" i="35"/>
  <c r="I248" i="35"/>
  <c r="K247" i="35"/>
  <c r="U243" i="35"/>
  <c r="T243" i="35"/>
  <c r="S243" i="35"/>
  <c r="R243" i="35"/>
  <c r="Q243" i="35"/>
  <c r="P243" i="35"/>
  <c r="O243" i="35"/>
  <c r="N243" i="35"/>
  <c r="M243" i="35"/>
  <c r="L243" i="35"/>
  <c r="K243" i="35"/>
  <c r="J243" i="35"/>
  <c r="I243" i="35"/>
  <c r="H243" i="35"/>
  <c r="U242" i="35"/>
  <c r="U241" i="35" s="1"/>
  <c r="U240" i="35" s="1"/>
  <c r="U239" i="35" s="1"/>
  <c r="N242" i="35"/>
  <c r="N241" i="35" s="1"/>
  <c r="N240" i="35" s="1"/>
  <c r="N239" i="35" s="1"/>
  <c r="J242" i="35"/>
  <c r="J241" i="35" s="1"/>
  <c r="J240" i="35" s="1"/>
  <c r="I242" i="35"/>
  <c r="I241" i="35" s="1"/>
  <c r="I240" i="35" s="1"/>
  <c r="H242" i="35"/>
  <c r="H241" i="35" s="1"/>
  <c r="H240" i="35" s="1"/>
  <c r="H239" i="35" s="1"/>
  <c r="K240" i="35"/>
  <c r="U236" i="35"/>
  <c r="U235" i="35" s="1"/>
  <c r="U234" i="35" s="1"/>
  <c r="U233" i="35" s="1"/>
  <c r="N236" i="35"/>
  <c r="N235" i="35" s="1"/>
  <c r="N234" i="35" s="1"/>
  <c r="N233" i="35" s="1"/>
  <c r="J236" i="35"/>
  <c r="J235" i="35" s="1"/>
  <c r="J234" i="35" s="1"/>
  <c r="J233" i="35" s="1"/>
  <c r="I236" i="35"/>
  <c r="I235" i="35" s="1"/>
  <c r="I234" i="35" s="1"/>
  <c r="I233" i="35" s="1"/>
  <c r="H236" i="35"/>
  <c r="H235" i="35" s="1"/>
  <c r="H234" i="35" s="1"/>
  <c r="H233" i="35" s="1"/>
  <c r="U231" i="35"/>
  <c r="N231" i="35"/>
  <c r="J231" i="35"/>
  <c r="I231" i="35"/>
  <c r="H231" i="35"/>
  <c r="U229" i="35"/>
  <c r="N229" i="35"/>
  <c r="J229" i="35"/>
  <c r="I229" i="35"/>
  <c r="H229" i="35"/>
  <c r="U227" i="35"/>
  <c r="N227" i="35"/>
  <c r="J227" i="35"/>
  <c r="I227" i="35"/>
  <c r="H227" i="35"/>
  <c r="U224" i="35"/>
  <c r="U223" i="35" s="1"/>
  <c r="N224" i="35"/>
  <c r="N223" i="35" s="1"/>
  <c r="J224" i="35"/>
  <c r="J223" i="35" s="1"/>
  <c r="I224" i="35"/>
  <c r="I223" i="35" s="1"/>
  <c r="H224" i="35"/>
  <c r="H223" i="35" s="1"/>
  <c r="N220" i="35"/>
  <c r="N210" i="35" s="1"/>
  <c r="U219" i="35"/>
  <c r="T219" i="35"/>
  <c r="S219" i="35"/>
  <c r="R219" i="35"/>
  <c r="Q219" i="35"/>
  <c r="P219" i="35"/>
  <c r="O219" i="35"/>
  <c r="N219" i="35"/>
  <c r="M219" i="35"/>
  <c r="L219" i="35"/>
  <c r="K219" i="35"/>
  <c r="J219" i="35"/>
  <c r="I219" i="35"/>
  <c r="H219" i="35"/>
  <c r="U218" i="35"/>
  <c r="N218" i="35"/>
  <c r="J218" i="35"/>
  <c r="I218" i="35"/>
  <c r="H218" i="35"/>
  <c r="U216" i="35"/>
  <c r="N216" i="35"/>
  <c r="J216" i="35"/>
  <c r="I216" i="35"/>
  <c r="H216" i="35"/>
  <c r="U213" i="35"/>
  <c r="N213" i="35"/>
  <c r="N212" i="35" s="1"/>
  <c r="N211" i="35" s="1"/>
  <c r="H213" i="35"/>
  <c r="U212" i="35"/>
  <c r="U211" i="35" s="1"/>
  <c r="J212" i="35"/>
  <c r="I212" i="35"/>
  <c r="H212" i="35"/>
  <c r="H211" i="35" s="1"/>
  <c r="U208" i="35"/>
  <c r="T208" i="35"/>
  <c r="S208" i="35"/>
  <c r="R208" i="35"/>
  <c r="Q208" i="35"/>
  <c r="P208" i="35"/>
  <c r="O208" i="35"/>
  <c r="N208" i="35"/>
  <c r="M208" i="35"/>
  <c r="L208" i="35"/>
  <c r="U207" i="35"/>
  <c r="U206" i="35" s="1"/>
  <c r="U202" i="35" s="1"/>
  <c r="N207" i="35"/>
  <c r="N206" i="35" s="1"/>
  <c r="N202" i="35" s="1"/>
  <c r="U204" i="35"/>
  <c r="T204" i="35"/>
  <c r="S204" i="35"/>
  <c r="R204" i="35"/>
  <c r="Q204" i="35"/>
  <c r="P204" i="35"/>
  <c r="O204" i="35"/>
  <c r="N204" i="35"/>
  <c r="M204" i="35"/>
  <c r="L204" i="35"/>
  <c r="U203" i="35"/>
  <c r="N203" i="35"/>
  <c r="U187" i="35"/>
  <c r="N187" i="35"/>
  <c r="U185" i="35"/>
  <c r="U184" i="35" s="1"/>
  <c r="U183" i="35" s="1"/>
  <c r="U182" i="35" s="1"/>
  <c r="N185" i="35"/>
  <c r="N184" i="35" s="1"/>
  <c r="N183" i="35" s="1"/>
  <c r="N182" i="35" s="1"/>
  <c r="H185" i="35"/>
  <c r="H184" i="35" s="1"/>
  <c r="H183" i="35" s="1"/>
  <c r="H182" i="35" s="1"/>
  <c r="U180" i="35"/>
  <c r="U179" i="35" s="1"/>
  <c r="U178" i="35" s="1"/>
  <c r="U177" i="35" s="1"/>
  <c r="N180" i="35"/>
  <c r="N179" i="35" s="1"/>
  <c r="N178" i="35" s="1"/>
  <c r="N177" i="35" s="1"/>
  <c r="H180" i="35"/>
  <c r="H179" i="35" s="1"/>
  <c r="H178" i="35" s="1"/>
  <c r="H177" i="35" s="1"/>
  <c r="U176" i="35"/>
  <c r="N176" i="35"/>
  <c r="H176" i="35"/>
  <c r="U175" i="35"/>
  <c r="N175" i="35"/>
  <c r="H175" i="35"/>
  <c r="U172" i="35"/>
  <c r="T172" i="35"/>
  <c r="S172" i="35"/>
  <c r="R172" i="35"/>
  <c r="Q172" i="35"/>
  <c r="P172" i="35"/>
  <c r="O172" i="35"/>
  <c r="N172" i="35"/>
  <c r="M172" i="35"/>
  <c r="L172" i="35"/>
  <c r="K172" i="35"/>
  <c r="J172" i="35"/>
  <c r="I172" i="35"/>
  <c r="H172" i="35"/>
  <c r="U170" i="35"/>
  <c r="U169" i="35" s="1"/>
  <c r="U168" i="35" s="1"/>
  <c r="N170" i="35"/>
  <c r="N169" i="35" s="1"/>
  <c r="N168" i="35" s="1"/>
  <c r="K170" i="35"/>
  <c r="J170" i="35"/>
  <c r="J169" i="35" s="1"/>
  <c r="I170" i="35"/>
  <c r="I169" i="35" s="1"/>
  <c r="H170" i="35"/>
  <c r="H169" i="35" s="1"/>
  <c r="H168" i="35" s="1"/>
  <c r="J166" i="35"/>
  <c r="I166" i="35"/>
  <c r="H164" i="35"/>
  <c r="H163" i="35" s="1"/>
  <c r="H162" i="35" s="1"/>
  <c r="H161" i="35" s="1"/>
  <c r="U159" i="35"/>
  <c r="T159" i="35"/>
  <c r="S159" i="35"/>
  <c r="R159" i="35"/>
  <c r="Q159" i="35"/>
  <c r="P159" i="35"/>
  <c r="O159" i="35"/>
  <c r="N159" i="35"/>
  <c r="M159" i="35"/>
  <c r="L159" i="35"/>
  <c r="K159" i="35"/>
  <c r="J159" i="35"/>
  <c r="I159" i="35"/>
  <c r="H159" i="35"/>
  <c r="U158" i="35"/>
  <c r="U157" i="35" s="1"/>
  <c r="U156" i="35" s="1"/>
  <c r="N158" i="35"/>
  <c r="J158" i="35"/>
  <c r="I158" i="35"/>
  <c r="H158" i="35"/>
  <c r="H157" i="35" s="1"/>
  <c r="H156" i="35" s="1"/>
  <c r="N157" i="35"/>
  <c r="N156" i="35" s="1"/>
  <c r="U153" i="35"/>
  <c r="T153" i="35"/>
  <c r="S153" i="35"/>
  <c r="R153" i="35"/>
  <c r="Q153" i="35"/>
  <c r="P153" i="35"/>
  <c r="O153" i="35"/>
  <c r="N153" i="35"/>
  <c r="M153" i="35"/>
  <c r="L153" i="35"/>
  <c r="K153" i="35"/>
  <c r="J153" i="35"/>
  <c r="I153" i="35"/>
  <c r="H153" i="35"/>
  <c r="U152" i="35"/>
  <c r="N152" i="35"/>
  <c r="J152" i="35"/>
  <c r="J151" i="35" s="1"/>
  <c r="I152" i="35"/>
  <c r="I151" i="35" s="1"/>
  <c r="H152" i="35"/>
  <c r="U151" i="35"/>
  <c r="N151" i="35"/>
  <c r="U148" i="35"/>
  <c r="T148" i="35"/>
  <c r="T136" i="35" s="1"/>
  <c r="S148" i="35"/>
  <c r="S136" i="35" s="1"/>
  <c r="R148" i="35"/>
  <c r="R136" i="35" s="1"/>
  <c r="Q148" i="35"/>
  <c r="Q136" i="35" s="1"/>
  <c r="P148" i="35"/>
  <c r="P136" i="35" s="1"/>
  <c r="O148" i="35"/>
  <c r="O136" i="35" s="1"/>
  <c r="N148" i="35"/>
  <c r="H148" i="35"/>
  <c r="U146" i="35"/>
  <c r="N146" i="35"/>
  <c r="J146" i="35"/>
  <c r="I146" i="35"/>
  <c r="H146" i="35"/>
  <c r="U144" i="35"/>
  <c r="N144" i="35"/>
  <c r="J144" i="35"/>
  <c r="I144" i="35"/>
  <c r="U142" i="35"/>
  <c r="T142" i="35"/>
  <c r="S142" i="35"/>
  <c r="R142" i="35"/>
  <c r="Q142" i="35"/>
  <c r="P142" i="35"/>
  <c r="O142" i="35"/>
  <c r="N142" i="35"/>
  <c r="M142" i="35"/>
  <c r="L142" i="35"/>
  <c r="K142" i="35"/>
  <c r="J142" i="35"/>
  <c r="I142" i="35"/>
  <c r="H142" i="35"/>
  <c r="U141" i="35"/>
  <c r="N141" i="35"/>
  <c r="J141" i="35"/>
  <c r="I141" i="35"/>
  <c r="H141" i="35"/>
  <c r="T140" i="35"/>
  <c r="S140" i="35"/>
  <c r="R140" i="35"/>
  <c r="Q140" i="35"/>
  <c r="P140" i="35"/>
  <c r="O140" i="35"/>
  <c r="T139" i="35"/>
  <c r="T138" i="35" s="1"/>
  <c r="S139" i="35"/>
  <c r="S138" i="35" s="1"/>
  <c r="R139" i="35"/>
  <c r="R138" i="35" s="1"/>
  <c r="Q139" i="35"/>
  <c r="Q138" i="35" s="1"/>
  <c r="P139" i="35"/>
  <c r="P138" i="35" s="1"/>
  <c r="O139" i="35"/>
  <c r="O138" i="35" s="1"/>
  <c r="K138" i="35"/>
  <c r="U134" i="35"/>
  <c r="T134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U131" i="35"/>
  <c r="U130" i="35" s="1"/>
  <c r="U129" i="35" s="1"/>
  <c r="U128" i="35" s="1"/>
  <c r="U127" i="35" s="1"/>
  <c r="U126" i="35" s="1"/>
  <c r="N131" i="35"/>
  <c r="N130" i="35" s="1"/>
  <c r="N129" i="35" s="1"/>
  <c r="N128" i="35" s="1"/>
  <c r="N127" i="35" s="1"/>
  <c r="N126" i="35" s="1"/>
  <c r="J131" i="35"/>
  <c r="J130" i="35" s="1"/>
  <c r="J129" i="35" s="1"/>
  <c r="J128" i="35" s="1"/>
  <c r="J127" i="35" s="1"/>
  <c r="J126" i="35" s="1"/>
  <c r="I131" i="35"/>
  <c r="I130" i="35" s="1"/>
  <c r="I129" i="35" s="1"/>
  <c r="I128" i="35" s="1"/>
  <c r="I127" i="35" s="1"/>
  <c r="I126" i="35" s="1"/>
  <c r="H131" i="35"/>
  <c r="H130" i="35" s="1"/>
  <c r="H129" i="35" s="1"/>
  <c r="H128" i="35" s="1"/>
  <c r="H127" i="35" s="1"/>
  <c r="H126" i="35" s="1"/>
  <c r="U123" i="35"/>
  <c r="U118" i="35" s="1"/>
  <c r="U117" i="35" s="1"/>
  <c r="U116" i="35" s="1"/>
  <c r="N123" i="35"/>
  <c r="N118" i="35" s="1"/>
  <c r="N117" i="35" s="1"/>
  <c r="N116" i="35" s="1"/>
  <c r="J123" i="35"/>
  <c r="J118" i="35" s="1"/>
  <c r="J117" i="35" s="1"/>
  <c r="J116" i="35" s="1"/>
  <c r="I123" i="35"/>
  <c r="I118" i="35" s="1"/>
  <c r="I117" i="35" s="1"/>
  <c r="I116" i="35" s="1"/>
  <c r="H123" i="35"/>
  <c r="U121" i="35"/>
  <c r="N121" i="35"/>
  <c r="J121" i="35"/>
  <c r="I121" i="35"/>
  <c r="H121" i="35"/>
  <c r="U119" i="35"/>
  <c r="N119" i="35"/>
  <c r="J119" i="35"/>
  <c r="I119" i="35"/>
  <c r="H119" i="35"/>
  <c r="H118" i="35" s="1"/>
  <c r="H117" i="35" s="1"/>
  <c r="H116" i="35" s="1"/>
  <c r="U113" i="35"/>
  <c r="T113" i="35"/>
  <c r="S113" i="35"/>
  <c r="R113" i="35"/>
  <c r="Q113" i="35"/>
  <c r="P113" i="35"/>
  <c r="O113" i="35"/>
  <c r="N113" i="35"/>
  <c r="H113" i="35"/>
  <c r="H111" i="35"/>
  <c r="U111" i="35"/>
  <c r="T111" i="35"/>
  <c r="S111" i="35"/>
  <c r="R111" i="35"/>
  <c r="Q111" i="35"/>
  <c r="P111" i="35"/>
  <c r="O111" i="35"/>
  <c r="N111" i="35"/>
  <c r="M111" i="35"/>
  <c r="L111" i="35"/>
  <c r="K111" i="35"/>
  <c r="J111" i="35"/>
  <c r="I111" i="35"/>
  <c r="J110" i="35"/>
  <c r="J109" i="35" s="1"/>
  <c r="J108" i="35" s="1"/>
  <c r="J107" i="35" s="1"/>
  <c r="I110" i="35"/>
  <c r="I109" i="35" s="1"/>
  <c r="I108" i="35" s="1"/>
  <c r="I107" i="35" s="1"/>
  <c r="U106" i="35"/>
  <c r="N106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U103" i="35"/>
  <c r="U102" i="35" s="1"/>
  <c r="U101" i="35" s="1"/>
  <c r="U100" i="35" s="1"/>
  <c r="U99" i="35" s="1"/>
  <c r="N103" i="35"/>
  <c r="N102" i="35" s="1"/>
  <c r="N101" i="35" s="1"/>
  <c r="N100" i="35" s="1"/>
  <c r="N99" i="35" s="1"/>
  <c r="J103" i="35"/>
  <c r="J102" i="35" s="1"/>
  <c r="J101" i="35" s="1"/>
  <c r="J100" i="35" s="1"/>
  <c r="J99" i="35" s="1"/>
  <c r="I103" i="35"/>
  <c r="I102" i="35" s="1"/>
  <c r="I101" i="35" s="1"/>
  <c r="I100" i="35" s="1"/>
  <c r="I99" i="35" s="1"/>
  <c r="H103" i="35"/>
  <c r="H102" i="35" s="1"/>
  <c r="H101" i="35" s="1"/>
  <c r="H100" i="35" s="1"/>
  <c r="H99" i="35" s="1"/>
  <c r="U97" i="35"/>
  <c r="T97" i="35"/>
  <c r="S97" i="35"/>
  <c r="R97" i="35"/>
  <c r="Q97" i="35"/>
  <c r="P97" i="35"/>
  <c r="O97" i="35"/>
  <c r="N97" i="35"/>
  <c r="M97" i="35"/>
  <c r="L97" i="35"/>
  <c r="K97" i="35"/>
  <c r="J97" i="35"/>
  <c r="I97" i="35"/>
  <c r="H97" i="35"/>
  <c r="U96" i="35"/>
  <c r="U95" i="35" s="1"/>
  <c r="U94" i="35" s="1"/>
  <c r="U93" i="35" s="1"/>
  <c r="U92" i="35" s="1"/>
  <c r="N96" i="35"/>
  <c r="N95" i="35" s="1"/>
  <c r="N94" i="35" s="1"/>
  <c r="N93" i="35" s="1"/>
  <c r="N92" i="35" s="1"/>
  <c r="H96" i="35"/>
  <c r="H95" i="35" s="1"/>
  <c r="H94" i="35" s="1"/>
  <c r="H93" i="35" s="1"/>
  <c r="H92" i="35" s="1"/>
  <c r="U90" i="35"/>
  <c r="T90" i="35"/>
  <c r="S90" i="35"/>
  <c r="R90" i="35"/>
  <c r="Q90" i="35"/>
  <c r="P90" i="35"/>
  <c r="O90" i="35"/>
  <c r="N90" i="35"/>
  <c r="M90" i="35"/>
  <c r="L90" i="35"/>
  <c r="K90" i="35"/>
  <c r="J90" i="35"/>
  <c r="I90" i="35"/>
  <c r="H90" i="35"/>
  <c r="U89" i="35"/>
  <c r="U88" i="35" s="1"/>
  <c r="U87" i="35" s="1"/>
  <c r="U86" i="35" s="1"/>
  <c r="U85" i="35" s="1"/>
  <c r="T89" i="35"/>
  <c r="T88" i="35" s="1"/>
  <c r="T87" i="35" s="1"/>
  <c r="T86" i="35" s="1"/>
  <c r="T85" i="35" s="1"/>
  <c r="S89" i="35"/>
  <c r="S88" i="35" s="1"/>
  <c r="S87" i="35" s="1"/>
  <c r="S86" i="35" s="1"/>
  <c r="S85" i="35" s="1"/>
  <c r="R89" i="35"/>
  <c r="R88" i="35" s="1"/>
  <c r="R87" i="35" s="1"/>
  <c r="R86" i="35" s="1"/>
  <c r="R85" i="35" s="1"/>
  <c r="Q89" i="35"/>
  <c r="Q88" i="35" s="1"/>
  <c r="Q87" i="35" s="1"/>
  <c r="Q86" i="35" s="1"/>
  <c r="Q85" i="35" s="1"/>
  <c r="P89" i="35"/>
  <c r="P88" i="35" s="1"/>
  <c r="P87" i="35" s="1"/>
  <c r="P86" i="35" s="1"/>
  <c r="P85" i="35" s="1"/>
  <c r="O89" i="35"/>
  <c r="O88" i="35" s="1"/>
  <c r="O87" i="35" s="1"/>
  <c r="O86" i="35" s="1"/>
  <c r="O85" i="35" s="1"/>
  <c r="N89" i="35"/>
  <c r="N88" i="35" s="1"/>
  <c r="N87" i="35" s="1"/>
  <c r="N86" i="35" s="1"/>
  <c r="N85" i="35" s="1"/>
  <c r="H89" i="35"/>
  <c r="H88" i="35" s="1"/>
  <c r="H87" i="35" s="1"/>
  <c r="H86" i="35" s="1"/>
  <c r="H85" i="35" s="1"/>
  <c r="K84" i="35"/>
  <c r="K83" i="35" s="1"/>
  <c r="U83" i="35"/>
  <c r="T83" i="35"/>
  <c r="S83" i="35"/>
  <c r="R83" i="35"/>
  <c r="Q83" i="35"/>
  <c r="P83" i="35"/>
  <c r="O83" i="35"/>
  <c r="N83" i="35"/>
  <c r="M83" i="35"/>
  <c r="L83" i="35"/>
  <c r="J83" i="35"/>
  <c r="I83" i="35"/>
  <c r="H83" i="35"/>
  <c r="U82" i="35"/>
  <c r="U81" i="35" s="1"/>
  <c r="U80" i="35" s="1"/>
  <c r="N82" i="35"/>
  <c r="N81" i="35" s="1"/>
  <c r="N80" i="35" s="1"/>
  <c r="J82" i="35"/>
  <c r="J81" i="35" s="1"/>
  <c r="J80" i="35" s="1"/>
  <c r="I82" i="35"/>
  <c r="I81" i="35" s="1"/>
  <c r="I80" i="35" s="1"/>
  <c r="H82" i="35"/>
  <c r="H81" i="35" s="1"/>
  <c r="H80" i="35" s="1"/>
  <c r="U78" i="35"/>
  <c r="N78" i="35"/>
  <c r="J78" i="35"/>
  <c r="I78" i="35"/>
  <c r="H78" i="35"/>
  <c r="U76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H76" i="35"/>
  <c r="U75" i="35"/>
  <c r="N75" i="35"/>
  <c r="J75" i="35"/>
  <c r="I75" i="35"/>
  <c r="H75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U72" i="35"/>
  <c r="N72" i="35"/>
  <c r="J72" i="35"/>
  <c r="I72" i="35"/>
  <c r="H72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N69" i="35"/>
  <c r="N68" i="35" s="1"/>
  <c r="K69" i="35"/>
  <c r="H65" i="35"/>
  <c r="U68" i="35"/>
  <c r="K67" i="35"/>
  <c r="U66" i="35"/>
  <c r="T66" i="35"/>
  <c r="S66" i="35"/>
  <c r="R66" i="35"/>
  <c r="Q66" i="35"/>
  <c r="P66" i="35"/>
  <c r="O66" i="35"/>
  <c r="N66" i="35"/>
  <c r="H66" i="35"/>
  <c r="U65" i="35"/>
  <c r="J65" i="35"/>
  <c r="I65" i="35"/>
  <c r="L61" i="35"/>
  <c r="U57" i="35"/>
  <c r="U56" i="35" s="1"/>
  <c r="U55" i="35" s="1"/>
  <c r="U54" i="35" s="1"/>
  <c r="N57" i="35"/>
  <c r="N56" i="35" s="1"/>
  <c r="N55" i="35" s="1"/>
  <c r="N54" i="35" s="1"/>
  <c r="J57" i="35"/>
  <c r="J56" i="35" s="1"/>
  <c r="J55" i="35" s="1"/>
  <c r="J54" i="35" s="1"/>
  <c r="J53" i="35" s="1"/>
  <c r="I57" i="35"/>
  <c r="I56" i="35" s="1"/>
  <c r="I55" i="35" s="1"/>
  <c r="I54" i="35" s="1"/>
  <c r="I53" i="35" s="1"/>
  <c r="H57" i="35"/>
  <c r="H56" i="35" s="1"/>
  <c r="H55" i="35" s="1"/>
  <c r="H54" i="35" s="1"/>
  <c r="J51" i="35"/>
  <c r="J50" i="35" s="1"/>
  <c r="J49" i="35" s="1"/>
  <c r="I51" i="35"/>
  <c r="I50" i="35" s="1"/>
  <c r="I49" i="35" s="1"/>
  <c r="H51" i="35"/>
  <c r="H50" i="35" s="1"/>
  <c r="H49" i="35" s="1"/>
  <c r="J32" i="35"/>
  <c r="J31" i="35" s="1"/>
  <c r="J30" i="35" s="1"/>
  <c r="J29" i="35" s="1"/>
  <c r="J28" i="35" s="1"/>
  <c r="I32" i="35"/>
  <c r="I31" i="35" s="1"/>
  <c r="I30" i="35" s="1"/>
  <c r="I29" i="35" s="1"/>
  <c r="I28" i="35" s="1"/>
  <c r="I18" i="35"/>
  <c r="H493" i="35" l="1"/>
  <c r="H490" i="35"/>
  <c r="H489" i="35" s="1"/>
  <c r="H488" i="35" s="1"/>
  <c r="H487" i="35" s="1"/>
  <c r="H486" i="35" s="1"/>
  <c r="H485" i="35" s="1"/>
  <c r="H605" i="35"/>
  <c r="H604" i="35" s="1"/>
  <c r="H597" i="35" s="1"/>
  <c r="H64" i="35"/>
  <c r="U490" i="35"/>
  <c r="N110" i="35"/>
  <c r="N109" i="35" s="1"/>
  <c r="N108" i="35" s="1"/>
  <c r="N107" i="35" s="1"/>
  <c r="U358" i="35"/>
  <c r="U354" i="35"/>
  <c r="N354" i="35"/>
  <c r="H387" i="35"/>
  <c r="H386" i="35" s="1"/>
  <c r="H420" i="35"/>
  <c r="H419" i="35" s="1"/>
  <c r="H418" i="35" s="1"/>
  <c r="H417" i="35" s="1"/>
  <c r="H406" i="35" s="1"/>
  <c r="N325" i="35"/>
  <c r="I486" i="35"/>
  <c r="U247" i="35"/>
  <c r="U246" i="35" s="1"/>
  <c r="U245" i="35" s="1"/>
  <c r="U238" i="35" s="1"/>
  <c r="U174" i="35" s="1"/>
  <c r="H291" i="35"/>
  <c r="I462" i="35"/>
  <c r="I461" i="35" s="1"/>
  <c r="I460" i="35" s="1"/>
  <c r="I459" i="35" s="1"/>
  <c r="U282" i="35"/>
  <c r="U290" i="35"/>
  <c r="J215" i="35"/>
  <c r="N395" i="35"/>
  <c r="N401" i="35"/>
  <c r="H428" i="35"/>
  <c r="H429" i="35"/>
  <c r="U300" i="35"/>
  <c r="U301" i="35"/>
  <c r="U428" i="35"/>
  <c r="U429" i="35"/>
  <c r="N440" i="35"/>
  <c r="N439" i="35" s="1"/>
  <c r="N437" i="35" s="1"/>
  <c r="N461" i="35"/>
  <c r="N460" i="35" s="1"/>
  <c r="N459" i="35" s="1"/>
  <c r="N300" i="35"/>
  <c r="N301" i="35"/>
  <c r="U395" i="35"/>
  <c r="U401" i="35"/>
  <c r="N428" i="35"/>
  <c r="N429" i="35"/>
  <c r="H248" i="35"/>
  <c r="H247" i="35" s="1"/>
  <c r="H246" i="35" s="1"/>
  <c r="H245" i="35" s="1"/>
  <c r="H238" i="35" s="1"/>
  <c r="H174" i="35" s="1"/>
  <c r="N370" i="35"/>
  <c r="H401" i="35"/>
  <c r="H395" i="35" s="1"/>
  <c r="H140" i="35"/>
  <c r="H139" i="35" s="1"/>
  <c r="H138" i="35" s="1"/>
  <c r="H137" i="35" s="1"/>
  <c r="I547" i="35"/>
  <c r="I543" i="35" s="1"/>
  <c r="I612" i="35"/>
  <c r="I611" i="35" s="1"/>
  <c r="I597" i="35" s="1"/>
  <c r="I596" i="35" s="1"/>
  <c r="I592" i="35" s="1"/>
  <c r="I591" i="35" s="1"/>
  <c r="I590" i="35" s="1"/>
  <c r="H615" i="35"/>
  <c r="H614" i="35" s="1"/>
  <c r="H613" i="35" s="1"/>
  <c r="H612" i="35" s="1"/>
  <c r="H611" i="35" s="1"/>
  <c r="N65" i="35"/>
  <c r="N64" i="35" s="1"/>
  <c r="N63" i="35" s="1"/>
  <c r="N62" i="35" s="1"/>
  <c r="N61" i="35" s="1"/>
  <c r="H558" i="35"/>
  <c r="H557" i="35" s="1"/>
  <c r="U370" i="35"/>
  <c r="N547" i="35"/>
  <c r="H552" i="35"/>
  <c r="N140" i="35"/>
  <c r="N139" i="35" s="1"/>
  <c r="N138" i="35" s="1"/>
  <c r="N137" i="35" s="1"/>
  <c r="I370" i="35"/>
  <c r="J612" i="35"/>
  <c r="J611" i="35" s="1"/>
  <c r="J597" i="35" s="1"/>
  <c r="J596" i="35" s="1"/>
  <c r="J592" i="35" s="1"/>
  <c r="J591" i="35" s="1"/>
  <c r="J590" i="35" s="1"/>
  <c r="J226" i="35"/>
  <c r="U110" i="35"/>
  <c r="U109" i="35" s="1"/>
  <c r="U108" i="35" s="1"/>
  <c r="U107" i="35" s="1"/>
  <c r="V205" i="35"/>
  <c r="J357" i="35"/>
  <c r="J356" i="35" s="1"/>
  <c r="H370" i="35"/>
  <c r="I281" i="35"/>
  <c r="U64" i="35"/>
  <c r="U63" i="35" s="1"/>
  <c r="U62" i="35" s="1"/>
  <c r="U61" i="35" s="1"/>
  <c r="U27" i="35" s="1"/>
  <c r="H502" i="35"/>
  <c r="H68" i="35"/>
  <c r="H215" i="35"/>
  <c r="U215" i="35"/>
  <c r="J247" i="35"/>
  <c r="J246" i="35" s="1"/>
  <c r="J245" i="35" s="1"/>
  <c r="J238" i="35" s="1"/>
  <c r="I357" i="35"/>
  <c r="I356" i="35" s="1"/>
  <c r="N361" i="35"/>
  <c r="N375" i="35"/>
  <c r="N369" i="35" s="1"/>
  <c r="N364" i="35" s="1"/>
  <c r="H375" i="35"/>
  <c r="N406" i="35"/>
  <c r="J462" i="35"/>
  <c r="J461" i="35" s="1"/>
  <c r="J460" i="35" s="1"/>
  <c r="J459" i="35" s="1"/>
  <c r="J500" i="35"/>
  <c r="N552" i="35"/>
  <c r="J370" i="35"/>
  <c r="H460" i="35"/>
  <c r="H459" i="35" s="1"/>
  <c r="K61" i="35"/>
  <c r="M61" i="35" s="1"/>
  <c r="J64" i="35"/>
  <c r="J63" i="35" s="1"/>
  <c r="J62" i="35" s="1"/>
  <c r="J61" i="35" s="1"/>
  <c r="I271" i="35"/>
  <c r="I270" i="35" s="1"/>
  <c r="I269" i="35" s="1"/>
  <c r="I259" i="35" s="1"/>
  <c r="J281" i="35"/>
  <c r="U310" i="35"/>
  <c r="U281" i="35" s="1"/>
  <c r="J486" i="35"/>
  <c r="U509" i="35"/>
  <c r="U508" i="35" s="1"/>
  <c r="U507" i="35" s="1"/>
  <c r="U506" i="35" s="1"/>
  <c r="U505" i="35" s="1"/>
  <c r="I513" i="35"/>
  <c r="J513" i="35"/>
  <c r="H361" i="35"/>
  <c r="H357" i="35" s="1"/>
  <c r="H356" i="35" s="1"/>
  <c r="H354" i="35" s="1"/>
  <c r="N489" i="35"/>
  <c r="N488" i="35" s="1"/>
  <c r="N487" i="35" s="1"/>
  <c r="N486" i="35" s="1"/>
  <c r="N485" i="35" s="1"/>
  <c r="N543" i="35"/>
  <c r="U552" i="35"/>
  <c r="I27" i="35"/>
  <c r="I25" i="35" s="1"/>
  <c r="I140" i="35"/>
  <c r="I139" i="35" s="1"/>
  <c r="J188" i="35"/>
  <c r="J187" i="35" s="1"/>
  <c r="U201" i="35"/>
  <c r="I215" i="35"/>
  <c r="H226" i="35"/>
  <c r="H222" i="35" s="1"/>
  <c r="H221" i="35" s="1"/>
  <c r="U226" i="35"/>
  <c r="U222" i="35" s="1"/>
  <c r="U221" i="35" s="1"/>
  <c r="U322" i="35"/>
  <c r="U318" i="35" s="1"/>
  <c r="U317" i="35" s="1"/>
  <c r="I375" i="35"/>
  <c r="U375" i="35"/>
  <c r="U425" i="35"/>
  <c r="U424" i="35" s="1"/>
  <c r="U461" i="35"/>
  <c r="U460" i="35" s="1"/>
  <c r="U459" i="35" s="1"/>
  <c r="U489" i="35"/>
  <c r="U488" i="35" s="1"/>
  <c r="U487" i="35" s="1"/>
  <c r="U486" i="35" s="1"/>
  <c r="U485" i="35" s="1"/>
  <c r="J547" i="35"/>
  <c r="J543" i="35" s="1"/>
  <c r="H255" i="35"/>
  <c r="H254" i="35"/>
  <c r="H322" i="35"/>
  <c r="H325" i="35"/>
  <c r="N359" i="35"/>
  <c r="H63" i="35"/>
  <c r="H61" i="35" s="1"/>
  <c r="N358" i="35"/>
  <c r="K27" i="35"/>
  <c r="K24" i="35" s="1"/>
  <c r="I157" i="35"/>
  <c r="I156" i="35" s="1"/>
  <c r="N215" i="35"/>
  <c r="I226" i="35"/>
  <c r="I222" i="35" s="1"/>
  <c r="I221" i="35" s="1"/>
  <c r="N271" i="35"/>
  <c r="N270" i="35" s="1"/>
  <c r="N269" i="35" s="1"/>
  <c r="N259" i="35" s="1"/>
  <c r="I64" i="35"/>
  <c r="I63" i="35" s="1"/>
  <c r="I62" i="35" s="1"/>
  <c r="I61" i="35" s="1"/>
  <c r="J157" i="35"/>
  <c r="J156" i="35" s="1"/>
  <c r="N201" i="35"/>
  <c r="N188" i="35" s="1"/>
  <c r="J222" i="35"/>
  <c r="J221" i="35" s="1"/>
  <c r="N226" i="35"/>
  <c r="N222" i="35" s="1"/>
  <c r="N221" i="35" s="1"/>
  <c r="I247" i="35"/>
  <c r="I246" i="35" s="1"/>
  <c r="I245" i="35" s="1"/>
  <c r="I238" i="35" s="1"/>
  <c r="H270" i="35"/>
  <c r="H269" i="35" s="1"/>
  <c r="H259" i="35" s="1"/>
  <c r="U271" i="35"/>
  <c r="U270" i="35" s="1"/>
  <c r="U269" i="35" s="1"/>
  <c r="U259" i="35" s="1"/>
  <c r="N310" i="35"/>
  <c r="N281" i="35" s="1"/>
  <c r="U359" i="35"/>
  <c r="U361" i="35"/>
  <c r="H522" i="35"/>
  <c r="H521" i="35" s="1"/>
  <c r="H513" i="35" s="1"/>
  <c r="N522" i="35"/>
  <c r="N521" i="35" s="1"/>
  <c r="N513" i="35" s="1"/>
  <c r="J552" i="35"/>
  <c r="J271" i="35"/>
  <c r="J270" i="35" s="1"/>
  <c r="J269" i="35" s="1"/>
  <c r="J259" i="35" s="1"/>
  <c r="J375" i="35"/>
  <c r="I552" i="35"/>
  <c r="U140" i="35"/>
  <c r="U139" i="35" s="1"/>
  <c r="U138" i="35" s="1"/>
  <c r="U137" i="35" s="1"/>
  <c r="H293" i="35"/>
  <c r="I500" i="35"/>
  <c r="H547" i="35"/>
  <c r="H543" i="35" s="1"/>
  <c r="U547" i="35"/>
  <c r="U543" i="35" s="1"/>
  <c r="J27" i="35"/>
  <c r="I106" i="35"/>
  <c r="N166" i="35"/>
  <c r="N167" i="35"/>
  <c r="H110" i="35"/>
  <c r="H109" i="35" s="1"/>
  <c r="H108" i="35" s="1"/>
  <c r="H107" i="35" s="1"/>
  <c r="H106" i="35" s="1"/>
  <c r="J140" i="35"/>
  <c r="J139" i="35" s="1"/>
  <c r="U166" i="35"/>
  <c r="U167" i="35"/>
  <c r="H437" i="35"/>
  <c r="H438" i="35"/>
  <c r="H167" i="35"/>
  <c r="H166" i="35"/>
  <c r="H260" i="35"/>
  <c r="J106" i="35"/>
  <c r="I188" i="35"/>
  <c r="I187" i="35" s="1"/>
  <c r="U437" i="35"/>
  <c r="U438" i="35"/>
  <c r="H426" i="35"/>
  <c r="U522" i="35"/>
  <c r="U521" i="35" s="1"/>
  <c r="U513" i="35" s="1"/>
  <c r="N597" i="35"/>
  <c r="N596" i="35" s="1"/>
  <c r="N592" i="35" s="1"/>
  <c r="N591" i="35" s="1"/>
  <c r="N590" i="35" s="1"/>
  <c r="N248" i="35"/>
  <c r="N247" i="35" s="1"/>
  <c r="N246" i="35" s="1"/>
  <c r="N245" i="35" s="1"/>
  <c r="N238" i="35" s="1"/>
  <c r="N174" i="35" s="1"/>
  <c r="N254" i="35"/>
  <c r="U592" i="35"/>
  <c r="U591" i="35" s="1"/>
  <c r="U590" i="35" s="1"/>
  <c r="N568" i="35"/>
  <c r="N502" i="35"/>
  <c r="H596" i="35" l="1"/>
  <c r="H592" i="35" s="1"/>
  <c r="H591" i="35" s="1"/>
  <c r="H590" i="35" s="1"/>
  <c r="N438" i="35"/>
  <c r="U357" i="35"/>
  <c r="I542" i="35"/>
  <c r="I541" i="35" s="1"/>
  <c r="I532" i="35" s="1"/>
  <c r="N136" i="35"/>
  <c r="H318" i="35"/>
  <c r="H317" i="35" s="1"/>
  <c r="H310" i="35" s="1"/>
  <c r="H290" i="35"/>
  <c r="H282" i="35" s="1"/>
  <c r="H281" i="35" s="1"/>
  <c r="H258" i="35" s="1"/>
  <c r="J138" i="35"/>
  <c r="J137" i="35" s="1"/>
  <c r="J136" i="35" s="1"/>
  <c r="H369" i="35"/>
  <c r="H364" i="35" s="1"/>
  <c r="N542" i="35"/>
  <c r="N541" i="35" s="1"/>
  <c r="N532" i="35" s="1"/>
  <c r="N60" i="35"/>
  <c r="N27" i="35"/>
  <c r="N25" i="35" s="1"/>
  <c r="H542" i="35"/>
  <c r="H541" i="35" s="1"/>
  <c r="H532" i="35" s="1"/>
  <c r="I138" i="35"/>
  <c r="I137" i="35" s="1"/>
  <c r="I136" i="35" s="1"/>
  <c r="U60" i="35"/>
  <c r="N357" i="35"/>
  <c r="U406" i="35"/>
  <c r="U423" i="35"/>
  <c r="U369" i="35"/>
  <c r="U364" i="35" s="1"/>
  <c r="I369" i="35"/>
  <c r="I364" i="35" s="1"/>
  <c r="I354" i="35" s="1"/>
  <c r="I258" i="35" s="1"/>
  <c r="N258" i="35"/>
  <c r="N356" i="35"/>
  <c r="J174" i="35"/>
  <c r="U542" i="35"/>
  <c r="U541" i="35" s="1"/>
  <c r="U532" i="35" s="1"/>
  <c r="J369" i="35"/>
  <c r="J364" i="35" s="1"/>
  <c r="J354" i="35" s="1"/>
  <c r="J258" i="35" s="1"/>
  <c r="H27" i="35"/>
  <c r="H25" i="35" s="1"/>
  <c r="U258" i="35"/>
  <c r="J60" i="35"/>
  <c r="U136" i="35"/>
  <c r="H60" i="35"/>
  <c r="I60" i="35"/>
  <c r="J542" i="35"/>
  <c r="J541" i="35" s="1"/>
  <c r="J532" i="35" s="1"/>
  <c r="I174" i="35"/>
  <c r="U25" i="35"/>
  <c r="J25" i="35"/>
  <c r="H26" i="35" l="1"/>
  <c r="H24" i="35" s="1"/>
  <c r="U356" i="35"/>
  <c r="U26" i="35"/>
  <c r="U24" i="35" s="1"/>
  <c r="U634" i="35" s="1"/>
  <c r="N26" i="35"/>
  <c r="N24" i="35" s="1"/>
  <c r="AA22" i="35" s="1"/>
  <c r="AA20" i="35" s="1"/>
  <c r="I26" i="35"/>
  <c r="N59" i="35"/>
  <c r="J26" i="35"/>
  <c r="J59" i="35"/>
  <c r="J24" i="35" s="1"/>
  <c r="I59" i="35"/>
  <c r="I24" i="35" s="1"/>
  <c r="U59" i="35"/>
  <c r="H59" i="35" l="1"/>
  <c r="N634" i="35"/>
  <c r="AB22" i="35"/>
  <c r="AB20" i="35" s="1"/>
  <c r="H634" i="35"/>
  <c r="M24" i="35"/>
  <c r="N321" i="22" l="1"/>
  <c r="J323" i="22"/>
  <c r="J322" i="22" s="1"/>
  <c r="N323" i="22"/>
  <c r="N322" i="22" s="1"/>
  <c r="O323" i="22"/>
  <c r="O322" i="22" s="1"/>
  <c r="P323" i="22"/>
  <c r="P322" i="22" s="1"/>
  <c r="Q323" i="22"/>
  <c r="Q322" i="22" s="1"/>
  <c r="R323" i="22"/>
  <c r="R322" i="22" s="1"/>
  <c r="H199" i="28"/>
  <c r="H198" i="28" s="1"/>
  <c r="H197" i="28" s="1"/>
  <c r="H202" i="28"/>
  <c r="H196" i="28"/>
  <c r="U198" i="28"/>
  <c r="U197" i="28" s="1"/>
  <c r="N198" i="28"/>
  <c r="N197" i="28" s="1"/>
  <c r="N312" i="22" l="1"/>
  <c r="H187" i="28"/>
  <c r="D65" i="29"/>
  <c r="E66" i="29"/>
  <c r="F65" i="29"/>
  <c r="E65" i="29"/>
  <c r="D66" i="29"/>
  <c r="E40" i="29"/>
  <c r="D40" i="29"/>
  <c r="H69" i="28" l="1"/>
  <c r="U434" i="28" l="1"/>
  <c r="W267" i="22"/>
  <c r="W229" i="22" l="1"/>
  <c r="W260" i="22"/>
  <c r="W760" i="22"/>
  <c r="V760" i="22"/>
  <c r="N760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W63" i="27" l="1"/>
  <c r="V63" i="27"/>
  <c r="K63" i="27"/>
  <c r="G11" i="29"/>
  <c r="F5" i="32"/>
  <c r="H11" i="34"/>
  <c r="H11" i="28"/>
  <c r="W11" i="22"/>
  <c r="J19" i="34" l="1"/>
  <c r="J25" i="34" s="1"/>
  <c r="J20" i="34"/>
  <c r="J22" i="34"/>
  <c r="I22" i="34"/>
  <c r="H22" i="34"/>
  <c r="H20" i="34"/>
  <c r="I20" i="34"/>
  <c r="I19" i="34"/>
  <c r="I25" i="34" s="1"/>
  <c r="H19" i="34" l="1"/>
  <c r="H25" i="34" s="1"/>
  <c r="X108" i="27"/>
  <c r="T407" i="28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62" i="22" l="1"/>
  <c r="H21" i="31"/>
  <c r="V108" i="27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79" i="22" l="1"/>
  <c r="W678" i="22" s="1"/>
  <c r="W677" i="22" s="1"/>
  <c r="V679" i="22"/>
  <c r="V678" i="22" s="1"/>
  <c r="V677" i="22" s="1"/>
  <c r="N568" i="22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L108" i="27" l="1"/>
  <c r="W57" i="27"/>
  <c r="V57" i="27"/>
  <c r="V40" i="27"/>
  <c r="H311" i="28" l="1"/>
  <c r="W787" i="22" l="1"/>
  <c r="W786" i="22" s="1"/>
  <c r="V787" i="22"/>
  <c r="V786" i="22" s="1"/>
  <c r="N787" i="22"/>
  <c r="N786" i="22" s="1"/>
  <c r="U318" i="28"/>
  <c r="N318" i="28"/>
  <c r="H318" i="28"/>
  <c r="W784" i="22"/>
  <c r="W783" i="22" s="1"/>
  <c r="W782" i="22" s="1"/>
  <c r="V784" i="22"/>
  <c r="V783" i="22" s="1"/>
  <c r="V782" i="22" s="1"/>
  <c r="W650" i="22"/>
  <c r="V650" i="22"/>
  <c r="N784" i="22"/>
  <c r="N783" i="22" s="1"/>
  <c r="N782" i="22" s="1"/>
  <c r="U311" i="28"/>
  <c r="N311" i="28"/>
  <c r="U316" i="28"/>
  <c r="U315" i="28" s="1"/>
  <c r="N316" i="28"/>
  <c r="N315" i="28" s="1"/>
  <c r="H316" i="28"/>
  <c r="H315" i="28" s="1"/>
  <c r="W780" i="22" l="1"/>
  <c r="W779" i="22" s="1"/>
  <c r="W778" i="22" s="1"/>
  <c r="V780" i="22"/>
  <c r="V779" i="22" s="1"/>
  <c r="V778" i="22" s="1"/>
  <c r="U307" i="28"/>
  <c r="U306" i="28" s="1"/>
  <c r="N307" i="28"/>
  <c r="N306" i="28" s="1"/>
  <c r="H307" i="28"/>
  <c r="F45" i="29" l="1"/>
  <c r="F57" i="29"/>
  <c r="D57" i="29"/>
  <c r="F54" i="29"/>
  <c r="D54" i="29"/>
  <c r="F51" i="29"/>
  <c r="D51" i="29"/>
  <c r="D48" i="29"/>
  <c r="F48" i="29"/>
  <c r="E48" i="29"/>
  <c r="E51" i="29"/>
  <c r="E57" i="29"/>
  <c r="E45" i="29" l="1"/>
  <c r="H274" i="28" l="1"/>
  <c r="N780" i="22"/>
  <c r="N779" i="22" s="1"/>
  <c r="N778" i="22" s="1"/>
  <c r="H313" i="28"/>
  <c r="H312" i="28" s="1"/>
  <c r="H395" i="28"/>
  <c r="H394" i="28" s="1"/>
  <c r="N709" i="22"/>
  <c r="N708" i="22" s="1"/>
  <c r="N707" i="22" s="1"/>
  <c r="W709" i="22"/>
  <c r="W708" i="22" s="1"/>
  <c r="W707" i="22" s="1"/>
  <c r="V709" i="22"/>
  <c r="V708" i="22" s="1"/>
  <c r="V707" i="22" s="1"/>
  <c r="W382" i="22" l="1"/>
  <c r="V382" i="22"/>
  <c r="U280" i="28"/>
  <c r="N280" i="28"/>
  <c r="W568" i="22" l="1"/>
  <c r="V568" i="22"/>
  <c r="U500" i="28" l="1"/>
  <c r="N500" i="28"/>
  <c r="H500" i="28"/>
  <c r="W215" i="22"/>
  <c r="V215" i="22"/>
  <c r="U391" i="28" l="1"/>
  <c r="T391" i="28"/>
  <c r="S391" i="28"/>
  <c r="R391" i="28"/>
  <c r="Q391" i="28"/>
  <c r="P391" i="28"/>
  <c r="O391" i="28"/>
  <c r="N391" i="28"/>
  <c r="H392" i="28"/>
  <c r="H391" i="28" s="1"/>
  <c r="N679" i="22"/>
  <c r="N678" i="22" s="1"/>
  <c r="N677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33" i="22"/>
  <c r="W532" i="22" s="1"/>
  <c r="W531" i="22" s="1"/>
  <c r="W530" i="22" s="1"/>
  <c r="W529" i="22" s="1"/>
  <c r="N533" i="22"/>
  <c r="N532" i="22" s="1"/>
  <c r="N531" i="22" s="1"/>
  <c r="N530" i="22" s="1"/>
  <c r="N529" i="22" s="1"/>
  <c r="N528" i="22" s="1"/>
  <c r="N539" i="22"/>
  <c r="N538" i="22" s="1"/>
  <c r="N537" i="22" s="1"/>
  <c r="N536" i="22" s="1"/>
  <c r="N535" i="22" s="1"/>
  <c r="V539" i="22"/>
  <c r="V538" i="22" s="1"/>
  <c r="V537" i="22" s="1"/>
  <c r="V536" i="22" s="1"/>
  <c r="V535" i="22" s="1"/>
  <c r="W539" i="22"/>
  <c r="W538" i="22" s="1"/>
  <c r="W537" i="22" s="1"/>
  <c r="W536" i="22" s="1"/>
  <c r="W535" i="22" s="1"/>
  <c r="O395" i="22"/>
  <c r="P395" i="22"/>
  <c r="Q395" i="22"/>
  <c r="R395" i="22"/>
  <c r="V395" i="22"/>
  <c r="V390" i="22" s="1"/>
  <c r="W395" i="22"/>
  <c r="W390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19" i="22"/>
  <c r="W418" i="22" s="1"/>
  <c r="W417" i="22" s="1"/>
  <c r="W416" i="22"/>
  <c r="V419" i="22"/>
  <c r="V418" i="22" s="1"/>
  <c r="V417" i="22" s="1"/>
  <c r="V416" i="22"/>
  <c r="N419" i="22"/>
  <c r="N418" i="22" s="1"/>
  <c r="N417" i="22" s="1"/>
  <c r="U295" i="28"/>
  <c r="U294" i="28" s="1"/>
  <c r="U293" i="28" s="1"/>
  <c r="N295" i="28"/>
  <c r="N294" i="28" s="1"/>
  <c r="N293" i="28" s="1"/>
  <c r="N395" i="22"/>
  <c r="U175" i="28" l="1"/>
  <c r="W528" i="22"/>
  <c r="V533" i="22"/>
  <c r="V532" i="22" s="1"/>
  <c r="V531" i="22" s="1"/>
  <c r="V530" i="22" s="1"/>
  <c r="V529" i="22" s="1"/>
  <c r="V528" i="22"/>
  <c r="U185" i="28"/>
  <c r="U184" i="28" s="1"/>
  <c r="U183" i="28" s="1"/>
  <c r="U182" i="28" s="1"/>
  <c r="N175" i="28"/>
  <c r="N176" i="28"/>
  <c r="N416" i="22"/>
  <c r="W122" i="27" l="1"/>
  <c r="W108" i="27" s="1"/>
  <c r="V488" i="22" l="1"/>
  <c r="W380" i="22"/>
  <c r="W379" i="22" s="1"/>
  <c r="V380" i="22"/>
  <c r="V378" i="22" s="1"/>
  <c r="V377" i="22" s="1"/>
  <c r="W359" i="22"/>
  <c r="W358" i="22" s="1"/>
  <c r="V359" i="22"/>
  <c r="V358" i="22" s="1"/>
  <c r="W378" i="22" l="1"/>
  <c r="W377" i="22" s="1"/>
  <c r="V379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39" i="22" l="1"/>
  <c r="V438" i="22" s="1"/>
  <c r="V437" i="22" s="1"/>
  <c r="V436" i="22" s="1"/>
  <c r="N439" i="22"/>
  <c r="N438" i="22" s="1"/>
  <c r="N437" i="22" s="1"/>
  <c r="N436" i="22" s="1"/>
  <c r="N433" i="22" s="1"/>
  <c r="N434" i="22" l="1"/>
  <c r="N435" i="22"/>
  <c r="V434" i="22"/>
  <c r="V435" i="22"/>
  <c r="W439" i="22"/>
  <c r="W438" i="22" s="1"/>
  <c r="W437" i="22" s="1"/>
  <c r="W436" i="22" s="1"/>
  <c r="V433" i="22"/>
  <c r="W434" i="22" l="1"/>
  <c r="W435" i="22"/>
  <c r="W433" i="22"/>
  <c r="W44" i="27" l="1"/>
  <c r="V526" i="22"/>
  <c r="V525" i="22" s="1"/>
  <c r="F66" i="29" l="1"/>
  <c r="F67" i="29" s="1"/>
  <c r="F37" i="29" l="1"/>
  <c r="E37" i="29"/>
  <c r="F64" i="29" l="1"/>
  <c r="E64" i="29"/>
  <c r="D64" i="29"/>
  <c r="F40" i="29"/>
  <c r="F41" i="29" s="1"/>
  <c r="E41" i="29"/>
  <c r="F36" i="29"/>
  <c r="D37" i="29"/>
  <c r="F34" i="29"/>
  <c r="E34" i="29"/>
  <c r="D34" i="29"/>
  <c r="F31" i="29"/>
  <c r="E31" i="29"/>
  <c r="D31" i="29"/>
  <c r="F28" i="29"/>
  <c r="E28" i="29"/>
  <c r="D28" i="29"/>
  <c r="E67" i="29"/>
  <c r="F24" i="29"/>
  <c r="D24" i="29"/>
  <c r="D41" i="29" l="1"/>
  <c r="D21" i="29" s="1"/>
  <c r="D69" i="29" s="1"/>
  <c r="F21" i="29"/>
  <c r="F69" i="29" s="1"/>
  <c r="E24" i="29"/>
  <c r="D67" i="29" l="1"/>
  <c r="E21" i="29"/>
  <c r="E69" i="29" s="1"/>
  <c r="H370" i="28"/>
  <c r="H369" i="28" s="1"/>
  <c r="W488" i="22"/>
  <c r="W487" i="22" s="1"/>
  <c r="W486" i="22" s="1"/>
  <c r="W485" i="22" s="1"/>
  <c r="W484" i="22" s="1"/>
  <c r="W483" i="22" s="1"/>
  <c r="N551" i="22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13" i="22"/>
  <c r="W712" i="22" s="1"/>
  <c r="V713" i="22"/>
  <c r="V712" i="22" s="1"/>
  <c r="N713" i="22"/>
  <c r="N712" i="22" s="1"/>
  <c r="N716" i="22"/>
  <c r="N711" i="22" s="1"/>
  <c r="D39" i="26" l="1"/>
  <c r="H271" i="28" l="1"/>
  <c r="H272" i="28"/>
  <c r="H275" i="28"/>
  <c r="N359" i="22"/>
  <c r="N358" i="22" s="1"/>
  <c r="N526" i="22"/>
  <c r="N380" i="22"/>
  <c r="N379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J506" i="28"/>
  <c r="J505" i="28" s="1"/>
  <c r="I506" i="28"/>
  <c r="I505" i="28" s="1"/>
  <c r="H506" i="28"/>
  <c r="H505" i="28" s="1"/>
  <c r="H504" i="28" s="1"/>
  <c r="H503" i="28" s="1"/>
  <c r="H502" i="28" s="1"/>
  <c r="N505" i="28"/>
  <c r="N504" i="28" s="1"/>
  <c r="N503" i="28" s="1"/>
  <c r="N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N457" i="28"/>
  <c r="N456" i="28" s="1"/>
  <c r="N455" i="28" s="1"/>
  <c r="N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J204" i="28" s="1"/>
  <c r="J203" i="28" s="1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H554" i="28" l="1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Z137" i="27"/>
  <c r="Y137" i="27"/>
  <c r="X137" i="27"/>
  <c r="O133" i="27"/>
  <c r="P130" i="27"/>
  <c r="AC116" i="27"/>
  <c r="AB116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K100" i="27"/>
  <c r="P96" i="27"/>
  <c r="P91" i="27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33" i="27" s="1"/>
  <c r="P74" i="27"/>
  <c r="P70" i="27"/>
  <c r="P66" i="27"/>
  <c r="T63" i="27"/>
  <c r="R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T40" i="27"/>
  <c r="R40" i="27"/>
  <c r="K40" i="27"/>
  <c r="AB22" i="28" l="1"/>
  <c r="AB20" i="28" s="1"/>
  <c r="V38" i="27"/>
  <c r="M24" i="28"/>
  <c r="K38" i="27"/>
  <c r="P88" i="27"/>
  <c r="P82" i="27"/>
  <c r="P108" i="27"/>
  <c r="R38" i="27"/>
  <c r="R131" i="27" s="1"/>
  <c r="P51" i="27"/>
  <c r="P47" i="27" s="1"/>
  <c r="P44" i="27" s="1"/>
  <c r="P133" i="27"/>
  <c r="P78" i="27"/>
  <c r="P63" i="27" s="1"/>
  <c r="W38" i="27"/>
  <c r="W131" i="27" s="1"/>
  <c r="T38" i="27"/>
  <c r="T131" i="27" s="1"/>
  <c r="K131" i="27" l="1"/>
  <c r="P38" i="27"/>
  <c r="P131" i="27" s="1"/>
  <c r="V131" i="27"/>
  <c r="N177" i="23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P82" i="23"/>
  <c r="P81" i="23" s="1"/>
  <c r="P80" i="23" s="1"/>
  <c r="P79" i="23" s="1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Q81" i="23"/>
  <c r="Q80" i="23" s="1"/>
  <c r="Q79" i="23" s="1"/>
  <c r="U80" i="23"/>
  <c r="U79" i="23" s="1"/>
  <c r="U66" i="23"/>
  <c r="N66" i="23"/>
  <c r="U69" i="23"/>
  <c r="N69" i="23"/>
  <c r="N394" i="22"/>
  <c r="V394" i="22"/>
  <c r="W394" i="22"/>
  <c r="N570" i="22"/>
  <c r="N567" i="22" s="1"/>
  <c r="Q570" i="22"/>
  <c r="R570" i="22"/>
  <c r="V570" i="22"/>
  <c r="V567" i="22" s="1"/>
  <c r="W570" i="22"/>
  <c r="W567" i="22" s="1"/>
  <c r="W392" i="22"/>
  <c r="W391" i="22" s="1"/>
  <c r="V392" i="22"/>
  <c r="V391" i="22" s="1"/>
  <c r="N392" i="22"/>
  <c r="N391" i="22" s="1"/>
  <c r="J370" i="22"/>
  <c r="N370" i="22"/>
  <c r="N369" i="22" s="1"/>
  <c r="O370" i="22"/>
  <c r="P370" i="22"/>
  <c r="Q370" i="22"/>
  <c r="R370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70" i="22"/>
  <c r="W369" i="22" s="1"/>
  <c r="V370" i="22"/>
  <c r="V369" i="22" s="1"/>
  <c r="W214" i="22"/>
  <c r="V214" i="22"/>
  <c r="V213" i="22" s="1"/>
  <c r="N214" i="22"/>
  <c r="W431" i="22"/>
  <c r="V431" i="22"/>
  <c r="N431" i="22"/>
  <c r="W428" i="22" l="1"/>
  <c r="W423" i="22" s="1"/>
  <c r="W422" i="22" s="1"/>
  <c r="W421" i="22" s="1"/>
  <c r="W430" i="22"/>
  <c r="N212" i="22"/>
  <c r="N211" i="22" s="1"/>
  <c r="N213" i="22"/>
  <c r="N428" i="22"/>
  <c r="N422" i="22" s="1"/>
  <c r="N430" i="22"/>
  <c r="V428" i="22"/>
  <c r="V423" i="22" s="1"/>
  <c r="V422" i="22" s="1"/>
  <c r="V421" i="22" s="1"/>
  <c r="V430" i="22"/>
  <c r="W212" i="22"/>
  <c r="W211" i="22" s="1"/>
  <c r="W213" i="22"/>
  <c r="V212" i="22"/>
  <c r="V211" i="22" s="1"/>
  <c r="W340" i="22"/>
  <c r="V340" i="22"/>
  <c r="W518" i="22"/>
  <c r="W517" i="22" s="1"/>
  <c r="W516" i="22" s="1"/>
  <c r="W511" i="22" s="1"/>
  <c r="W705" i="22"/>
  <c r="V705" i="22"/>
  <c r="N705" i="22"/>
  <c r="W796" i="22"/>
  <c r="W794" i="22"/>
  <c r="W791" i="22"/>
  <c r="W776" i="22"/>
  <c r="W775" i="22" s="1"/>
  <c r="W773" i="22"/>
  <c r="W772" i="22" s="1"/>
  <c r="W770" i="22"/>
  <c r="W769" i="22" s="1"/>
  <c r="W767" i="22"/>
  <c r="W766" i="22" s="1"/>
  <c r="W764" i="22"/>
  <c r="W759" i="22"/>
  <c r="W758" i="22" s="1"/>
  <c r="W756" i="22"/>
  <c r="W755" i="22" s="1"/>
  <c r="W753" i="22"/>
  <c r="W751" i="22"/>
  <c r="W749" i="22"/>
  <c r="W748" i="22" s="1"/>
  <c r="W747" i="22" s="1"/>
  <c r="W743" i="22"/>
  <c r="W742" i="22" s="1"/>
  <c r="W737" i="22"/>
  <c r="W736" i="22" s="1"/>
  <c r="W734" i="22"/>
  <c r="W733" i="22" s="1"/>
  <c r="W731" i="22"/>
  <c r="W730" i="22" s="1"/>
  <c r="W728" i="22"/>
  <c r="W727" i="22" s="1"/>
  <c r="W725" i="22"/>
  <c r="W724" i="22" s="1"/>
  <c r="W722" i="22"/>
  <c r="W720" i="22"/>
  <c r="W719" i="22" s="1"/>
  <c r="W716" i="22"/>
  <c r="W711" i="22" s="1"/>
  <c r="W701" i="22"/>
  <c r="W697" i="22" s="1"/>
  <c r="W696" i="22" s="1"/>
  <c r="W694" i="22"/>
  <c r="W690" i="22"/>
  <c r="W689" i="22" s="1"/>
  <c r="W687" i="22"/>
  <c r="W683" i="22"/>
  <c r="W675" i="22"/>
  <c r="W674" i="22" s="1"/>
  <c r="W672" i="22"/>
  <c r="W671" i="22" s="1"/>
  <c r="W665" i="22"/>
  <c r="W660" i="22"/>
  <c r="W656" i="22"/>
  <c r="W655" i="22" s="1"/>
  <c r="W653" i="22"/>
  <c r="W649" i="22"/>
  <c r="W643" i="22"/>
  <c r="W641" i="22"/>
  <c r="W638" i="22"/>
  <c r="W636" i="22"/>
  <c r="W635" i="22" s="1"/>
  <c r="W634" i="22"/>
  <c r="W633" i="22" s="1"/>
  <c r="W632" i="22" s="1"/>
  <c r="W631" i="22" s="1"/>
  <c r="W629" i="22"/>
  <c r="W624" i="22"/>
  <c r="W623" i="22" s="1"/>
  <c r="W622" i="22" s="1"/>
  <c r="W621" i="22" s="1"/>
  <c r="W620" i="22" s="1"/>
  <c r="W618" i="22"/>
  <c r="W617" i="22" s="1"/>
  <c r="W616" i="22" s="1"/>
  <c r="W615" i="22" s="1"/>
  <c r="W613" i="22"/>
  <c r="W610" i="22"/>
  <c r="W607" i="22"/>
  <c r="W606" i="22" s="1"/>
  <c r="W602" i="22"/>
  <c r="W601" i="22" s="1"/>
  <c r="W599" i="22"/>
  <c r="W597" i="22" s="1"/>
  <c r="W595" i="22"/>
  <c r="W594" i="22" s="1"/>
  <c r="W592" i="22"/>
  <c r="W591" i="22" s="1"/>
  <c r="W590" i="22" s="1"/>
  <c r="W589" i="22" s="1"/>
  <c r="W587" i="22"/>
  <c r="W586" i="22" s="1"/>
  <c r="W582" i="22"/>
  <c r="W580" i="22" s="1"/>
  <c r="W578" i="22"/>
  <c r="W575" i="22"/>
  <c r="W565" i="22"/>
  <c r="W559" i="22"/>
  <c r="W558" i="22"/>
  <c r="W557" i="22" s="1"/>
  <c r="W553" i="22"/>
  <c r="W552" i="22" s="1"/>
  <c r="W551" i="22"/>
  <c r="W547" i="22"/>
  <c r="W525" i="22"/>
  <c r="W524" i="22" s="1"/>
  <c r="W523" i="22" s="1"/>
  <c r="W522" i="22" s="1"/>
  <c r="W521" i="22" s="1"/>
  <c r="W520" i="22" s="1"/>
  <c r="W502" i="22"/>
  <c r="W501" i="22" s="1"/>
  <c r="W500" i="22" s="1"/>
  <c r="W499" i="22" s="1"/>
  <c r="W414" i="22"/>
  <c r="W413" i="22" s="1"/>
  <c r="W412" i="22" s="1"/>
  <c r="W411" i="22" s="1"/>
  <c r="W410" i="22" s="1"/>
  <c r="W408" i="22"/>
  <c r="W407" i="22" s="1"/>
  <c r="W406" i="22" s="1"/>
  <c r="W405" i="22" s="1"/>
  <c r="W404" i="22" s="1"/>
  <c r="W402" i="22"/>
  <c r="W401" i="22" s="1"/>
  <c r="W400" i="22" s="1"/>
  <c r="W399" i="22" s="1"/>
  <c r="W398" i="22" s="1"/>
  <c r="W397" i="22"/>
  <c r="W389" i="22"/>
  <c r="W387" i="22"/>
  <c r="W385" i="22"/>
  <c r="W384" i="22"/>
  <c r="W383" i="22" s="1"/>
  <c r="W374" i="22"/>
  <c r="W368" i="22"/>
  <c r="W367" i="22"/>
  <c r="W363" i="22"/>
  <c r="W354" i="22"/>
  <c r="W338" i="22"/>
  <c r="W334" i="22"/>
  <c r="W333" i="22" s="1"/>
  <c r="W332" i="22"/>
  <c r="W331" i="22" s="1"/>
  <c r="W329" i="22" s="1"/>
  <c r="W323" i="22"/>
  <c r="W315" i="22"/>
  <c r="W291" i="22"/>
  <c r="W290" i="22" s="1"/>
  <c r="W289" i="22" s="1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796" i="22"/>
  <c r="V794" i="22"/>
  <c r="V791" i="22"/>
  <c r="V776" i="22"/>
  <c r="V775" i="22" s="1"/>
  <c r="V773" i="22"/>
  <c r="V772" i="22" s="1"/>
  <c r="V770" i="22"/>
  <c r="V769" i="22" s="1"/>
  <c r="V767" i="22"/>
  <c r="V766" i="22" s="1"/>
  <c r="V764" i="22"/>
  <c r="V763" i="22" s="1"/>
  <c r="V762" i="22"/>
  <c r="V759" i="22"/>
  <c r="V758" i="22" s="1"/>
  <c r="V756" i="22"/>
  <c r="V755" i="22" s="1"/>
  <c r="V753" i="22"/>
  <c r="V751" i="22"/>
  <c r="V749" i="22"/>
  <c r="V748" i="22" s="1"/>
  <c r="V747" i="22" s="1"/>
  <c r="V743" i="22"/>
  <c r="V742" i="22" s="1"/>
  <c r="V737" i="22"/>
  <c r="V736" i="22" s="1"/>
  <c r="V734" i="22"/>
  <c r="V733" i="22" s="1"/>
  <c r="V731" i="22"/>
  <c r="V730" i="22" s="1"/>
  <c r="V728" i="22"/>
  <c r="V727" i="22" s="1"/>
  <c r="V725" i="22"/>
  <c r="V724" i="22" s="1"/>
  <c r="V722" i="22"/>
  <c r="V720" i="22"/>
  <c r="V716" i="22"/>
  <c r="V711" i="22" s="1"/>
  <c r="V701" i="22"/>
  <c r="V697" i="22" s="1"/>
  <c r="V696" i="22" s="1"/>
  <c r="V694" i="22"/>
  <c r="V690" i="22"/>
  <c r="V689" i="22" s="1"/>
  <c r="V687" i="22"/>
  <c r="V683" i="22"/>
  <c r="V675" i="22"/>
  <c r="V674" i="22" s="1"/>
  <c r="V672" i="22"/>
  <c r="V671" i="22" s="1"/>
  <c r="V665" i="22"/>
  <c r="V660" i="22"/>
  <c r="V656" i="22"/>
  <c r="V655" i="22" s="1"/>
  <c r="V653" i="22"/>
  <c r="V649" i="22"/>
  <c r="V645" i="22" s="1"/>
  <c r="V643" i="22"/>
  <c r="V641" i="22"/>
  <c r="V638" i="22"/>
  <c r="V636" i="22"/>
  <c r="V635" i="22" s="1"/>
  <c r="V634" i="22"/>
  <c r="V633" i="22" s="1"/>
  <c r="V632" i="22" s="1"/>
  <c r="V631" i="22" s="1"/>
  <c r="V629" i="22"/>
  <c r="V624" i="22"/>
  <c r="V623" i="22" s="1"/>
  <c r="V622" i="22" s="1"/>
  <c r="V621" i="22" s="1"/>
  <c r="V620" i="22" s="1"/>
  <c r="V618" i="22"/>
  <c r="V617" i="22" s="1"/>
  <c r="V616" i="22" s="1"/>
  <c r="V615" i="22" s="1"/>
  <c r="V613" i="22"/>
  <c r="V610" i="22"/>
  <c r="V607" i="22"/>
  <c r="V602" i="22"/>
  <c r="V601" i="22" s="1"/>
  <c r="V599" i="22"/>
  <c r="V597" i="22" s="1"/>
  <c r="V595" i="22"/>
  <c r="V594" i="22" s="1"/>
  <c r="V592" i="22"/>
  <c r="V591" i="22" s="1"/>
  <c r="V590" i="22" s="1"/>
  <c r="V589" i="22" s="1"/>
  <c r="V587" i="22"/>
  <c r="V586" i="22" s="1"/>
  <c r="V582" i="22"/>
  <c r="V580" i="22" s="1"/>
  <c r="V578" i="22"/>
  <c r="V575" i="22"/>
  <c r="V565" i="22"/>
  <c r="V559" i="22"/>
  <c r="V558" i="22"/>
  <c r="V557" i="22" s="1"/>
  <c r="V553" i="22"/>
  <c r="V552" i="22" s="1"/>
  <c r="V551" i="22"/>
  <c r="V547" i="22"/>
  <c r="V524" i="22"/>
  <c r="V523" i="22" s="1"/>
  <c r="V522" i="22" s="1"/>
  <c r="V521" i="22" s="1"/>
  <c r="V520" i="22" s="1"/>
  <c r="V518" i="22"/>
  <c r="V517" i="22" s="1"/>
  <c r="V516" i="22" s="1"/>
  <c r="V511" i="22" s="1"/>
  <c r="V502" i="22"/>
  <c r="V501" i="22" s="1"/>
  <c r="V500" i="22" s="1"/>
  <c r="V499" i="22" s="1"/>
  <c r="V494" i="22"/>
  <c r="V493" i="22" s="1"/>
  <c r="V492" i="22" s="1"/>
  <c r="V414" i="22"/>
  <c r="V413" i="22" s="1"/>
  <c r="V412" i="22" s="1"/>
  <c r="V411" i="22" s="1"/>
  <c r="V410" i="22" s="1"/>
  <c r="V408" i="22"/>
  <c r="V407" i="22" s="1"/>
  <c r="V406" i="22" s="1"/>
  <c r="V405" i="22" s="1"/>
  <c r="V404" i="22" s="1"/>
  <c r="V402" i="22"/>
  <c r="V401" i="22" s="1"/>
  <c r="V400" i="22" s="1"/>
  <c r="V399" i="22" s="1"/>
  <c r="V398" i="22" s="1"/>
  <c r="V397" i="22"/>
  <c r="V389" i="22"/>
  <c r="V384" i="22"/>
  <c r="V383" i="22" s="1"/>
  <c r="V387" i="22"/>
  <c r="V385" i="22"/>
  <c r="V374" i="22"/>
  <c r="V368" i="22"/>
  <c r="V363" i="22"/>
  <c r="V354" i="22"/>
  <c r="V338" i="22"/>
  <c r="V334" i="22"/>
  <c r="V333" i="22" s="1"/>
  <c r="V332" i="22"/>
  <c r="V323" i="22"/>
  <c r="V315" i="22"/>
  <c r="V291" i="22"/>
  <c r="V290" i="22" s="1"/>
  <c r="V289" i="22" s="1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N423" i="22" l="1"/>
  <c r="N421" i="22" s="1"/>
  <c r="V509" i="22"/>
  <c r="V510" i="22"/>
  <c r="W509" i="22"/>
  <c r="W510" i="22"/>
  <c r="W365" i="22"/>
  <c r="W366" i="22"/>
  <c r="V490" i="22"/>
  <c r="V470" i="22" s="1"/>
  <c r="V491" i="22"/>
  <c r="V331" i="22"/>
  <c r="V329" i="22" s="1"/>
  <c r="V328" i="22" s="1"/>
  <c r="V319" i="22" s="1"/>
  <c r="V317" i="22" s="1"/>
  <c r="V322" i="22"/>
  <c r="W322" i="22"/>
  <c r="V361" i="22"/>
  <c r="V362" i="22"/>
  <c r="W361" i="22"/>
  <c r="W362" i="22"/>
  <c r="W605" i="22"/>
  <c r="V78" i="22"/>
  <c r="W494" i="22"/>
  <c r="W493" i="22" s="1"/>
  <c r="W492" i="22" s="1"/>
  <c r="W640" i="22"/>
  <c r="V640" i="22"/>
  <c r="W372" i="22"/>
  <c r="W373" i="22"/>
  <c r="W718" i="22"/>
  <c r="V372" i="22"/>
  <c r="V373" i="22"/>
  <c r="W328" i="22"/>
  <c r="W319" i="22" s="1"/>
  <c r="W317" i="22" s="1"/>
  <c r="V576" i="22"/>
  <c r="V577" i="22"/>
  <c r="V651" i="22"/>
  <c r="V652" i="22"/>
  <c r="V718" i="22"/>
  <c r="V719" i="22"/>
  <c r="W685" i="22"/>
  <c r="W686" i="22"/>
  <c r="W715" i="22"/>
  <c r="W789" i="22"/>
  <c r="W790" i="22"/>
  <c r="V703" i="22"/>
  <c r="V704" i="22"/>
  <c r="V692" i="22"/>
  <c r="V693" i="22"/>
  <c r="W352" i="22"/>
  <c r="W351" i="22" s="1"/>
  <c r="W350" i="22" s="1"/>
  <c r="W353" i="22"/>
  <c r="W576" i="22"/>
  <c r="W577" i="22"/>
  <c r="W651" i="22"/>
  <c r="W652" i="22"/>
  <c r="W703" i="22"/>
  <c r="W704" i="22"/>
  <c r="V181" i="22"/>
  <c r="V180" i="22" s="1"/>
  <c r="V336" i="22"/>
  <c r="V337" i="22"/>
  <c r="V658" i="22"/>
  <c r="V659" i="22"/>
  <c r="W313" i="22"/>
  <c r="W308" i="22" s="1"/>
  <c r="W307" i="22" s="1"/>
  <c r="W314" i="22"/>
  <c r="W692" i="22"/>
  <c r="W693" i="22"/>
  <c r="V352" i="22"/>
  <c r="V351" i="22" s="1"/>
  <c r="V350" i="22" s="1"/>
  <c r="V353" i="22"/>
  <c r="V605" i="22"/>
  <c r="V606" i="22"/>
  <c r="V685" i="22"/>
  <c r="V686" i="22"/>
  <c r="V715" i="22"/>
  <c r="V789" i="22"/>
  <c r="V790" i="22"/>
  <c r="W658" i="22"/>
  <c r="W659" i="22"/>
  <c r="W763" i="22"/>
  <c r="N703" i="22"/>
  <c r="N704" i="22"/>
  <c r="W681" i="22"/>
  <c r="W682" i="22"/>
  <c r="V681" i="22"/>
  <c r="V682" i="22"/>
  <c r="W609" i="22"/>
  <c r="W612" i="22"/>
  <c r="V609" i="22"/>
  <c r="V612" i="22"/>
  <c r="W336" i="22"/>
  <c r="W337" i="22"/>
  <c r="V313" i="22"/>
  <c r="V308" i="22" s="1"/>
  <c r="V307" i="22" s="1"/>
  <c r="V314" i="22"/>
  <c r="V627" i="22"/>
  <c r="V626" i="22" s="1"/>
  <c r="V625" i="22" s="1"/>
  <c r="V628" i="22"/>
  <c r="W627" i="22"/>
  <c r="W626" i="22" s="1"/>
  <c r="W625" i="22" s="1"/>
  <c r="W628" i="22"/>
  <c r="W545" i="22"/>
  <c r="W544" i="22" s="1"/>
  <c r="W543" i="22" s="1"/>
  <c r="W546" i="22"/>
  <c r="V545" i="22"/>
  <c r="V544" i="22" s="1"/>
  <c r="V543" i="22" s="1"/>
  <c r="V546" i="22"/>
  <c r="W118" i="22"/>
  <c r="W112" i="22" s="1"/>
  <c r="V118" i="22"/>
  <c r="V112" i="22" s="1"/>
  <c r="W750" i="22"/>
  <c r="W793" i="22"/>
  <c r="V750" i="22"/>
  <c r="W104" i="22"/>
  <c r="W99" i="22" s="1"/>
  <c r="V104" i="22"/>
  <c r="V99" i="22" s="1"/>
  <c r="W140" i="22"/>
  <c r="W136" i="22" s="1"/>
  <c r="W158" i="22"/>
  <c r="V793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123" i="22"/>
  <c r="V158" i="22"/>
  <c r="W91" i="22"/>
  <c r="W90" i="22" s="1"/>
  <c r="W181" i="22"/>
  <c r="W172" i="22"/>
  <c r="V91" i="22"/>
  <c r="V90" i="22" s="1"/>
  <c r="V140" i="22"/>
  <c r="V136" i="22" s="1"/>
  <c r="V77" i="22"/>
  <c r="V76" i="22" s="1"/>
  <c r="V75" i="22" s="1"/>
  <c r="W490" i="22" l="1"/>
  <c r="W470" i="22" s="1"/>
  <c r="W491" i="22"/>
  <c r="V318" i="22"/>
  <c r="W645" i="22"/>
  <c r="W318" i="22"/>
  <c r="W305" i="22"/>
  <c r="W304" i="22" s="1"/>
  <c r="W303" i="22" s="1"/>
  <c r="W301" i="22" s="1"/>
  <c r="V311" i="22"/>
  <c r="V310" i="22" s="1"/>
  <c r="V305" i="22"/>
  <c r="V304" i="22" s="1"/>
  <c r="V303" i="22" s="1"/>
  <c r="V301" i="22" s="1"/>
  <c r="W312" i="22"/>
  <c r="W311" i="22" s="1"/>
  <c r="W310" i="22" s="1"/>
  <c r="V550" i="22"/>
  <c r="V549" i="22" s="1"/>
  <c r="V542" i="22" s="1"/>
  <c r="V541" i="22" s="1"/>
  <c r="W550" i="22"/>
  <c r="W549" i="22" s="1"/>
  <c r="W542" i="22" s="1"/>
  <c r="V89" i="22"/>
  <c r="V179" i="22"/>
  <c r="V111" i="22"/>
  <c r="W89" i="22"/>
  <c r="W111" i="22"/>
  <c r="W180" i="22"/>
  <c r="W179" i="22"/>
  <c r="W541" i="22" l="1"/>
  <c r="V298" i="22"/>
  <c r="V296" i="22" s="1"/>
  <c r="V295" i="22" s="1"/>
  <c r="V300" i="22"/>
  <c r="V299" i="22"/>
  <c r="W298" i="22"/>
  <c r="W296" i="22" s="1"/>
  <c r="W294" i="22" s="1"/>
  <c r="W293" i="22" s="1"/>
  <c r="W288" i="22" s="1"/>
  <c r="W299" i="22"/>
  <c r="W300" i="22"/>
  <c r="V26" i="22"/>
  <c r="V17" i="22" s="1"/>
  <c r="W26" i="22"/>
  <c r="W17" i="22" s="1"/>
  <c r="N332" i="22"/>
  <c r="N331" i="22" s="1"/>
  <c r="N329" i="22" s="1"/>
  <c r="N366" i="22"/>
  <c r="N384" i="22"/>
  <c r="N553" i="22"/>
  <c r="N552" i="22" s="1"/>
  <c r="N607" i="22"/>
  <c r="N613" i="22"/>
  <c r="N634" i="22"/>
  <c r="N633" i="22" s="1"/>
  <c r="N632" i="22" s="1"/>
  <c r="N631" i="22" s="1"/>
  <c r="N694" i="22"/>
  <c r="N701" i="22"/>
  <c r="N697" i="22" s="1"/>
  <c r="N696" i="22" s="1"/>
  <c r="N720" i="22"/>
  <c r="N762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I430" i="23" s="1"/>
  <c r="H431" i="23"/>
  <c r="H430" i="23" s="1"/>
  <c r="N430" i="23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97" i="22"/>
  <c r="P796" i="22" s="1"/>
  <c r="O797" i="22"/>
  <c r="O796" i="22" s="1"/>
  <c r="J797" i="22"/>
  <c r="J796" i="22" s="1"/>
  <c r="R796" i="22"/>
  <c r="Q796" i="22"/>
  <c r="N796" i="22"/>
  <c r="P795" i="22"/>
  <c r="P794" i="22" s="1"/>
  <c r="O795" i="22"/>
  <c r="O794" i="22" s="1"/>
  <c r="J795" i="22"/>
  <c r="J794" i="22" s="1"/>
  <c r="R794" i="22"/>
  <c r="Q794" i="22"/>
  <c r="N794" i="22"/>
  <c r="M793" i="22"/>
  <c r="L793" i="22"/>
  <c r="R791" i="22"/>
  <c r="R789" i="22" s="1"/>
  <c r="Q791" i="22"/>
  <c r="Q789" i="22" s="1"/>
  <c r="P791" i="22"/>
  <c r="P789" i="22" s="1"/>
  <c r="O791" i="22"/>
  <c r="O789" i="22" s="1"/>
  <c r="N791" i="22"/>
  <c r="J791" i="22"/>
  <c r="J789" i="22" s="1"/>
  <c r="R776" i="22"/>
  <c r="R775" i="22" s="1"/>
  <c r="Q776" i="22"/>
  <c r="Q775" i="22" s="1"/>
  <c r="N776" i="22"/>
  <c r="N775" i="22" s="1"/>
  <c r="R773" i="22"/>
  <c r="R772" i="22" s="1"/>
  <c r="Q773" i="22"/>
  <c r="Q772" i="22" s="1"/>
  <c r="N773" i="22"/>
  <c r="N772" i="22" s="1"/>
  <c r="M773" i="22"/>
  <c r="M772" i="22" s="1"/>
  <c r="N770" i="22"/>
  <c r="N769" i="22" s="1"/>
  <c r="J768" i="22"/>
  <c r="R767" i="22"/>
  <c r="Q767" i="22"/>
  <c r="N767" i="22"/>
  <c r="N766" i="22" s="1"/>
  <c r="J767" i="22"/>
  <c r="J765" i="22"/>
  <c r="J764" i="22" s="1"/>
  <c r="R764" i="22"/>
  <c r="Q764" i="22"/>
  <c r="N764" i="22"/>
  <c r="N763" i="22" s="1"/>
  <c r="R762" i="22"/>
  <c r="M762" i="22"/>
  <c r="L762" i="22"/>
  <c r="N759" i="22"/>
  <c r="N758" i="22" s="1"/>
  <c r="J757" i="22"/>
  <c r="R756" i="22"/>
  <c r="R755" i="22" s="1"/>
  <c r="Q756" i="22"/>
  <c r="Q755" i="22" s="1"/>
  <c r="N756" i="22"/>
  <c r="N755" i="22" s="1"/>
  <c r="J754" i="22"/>
  <c r="J753" i="22" s="1"/>
  <c r="R753" i="22"/>
  <c r="Q753" i="22"/>
  <c r="P753" i="22"/>
  <c r="O753" i="22"/>
  <c r="N753" i="22"/>
  <c r="J752" i="22"/>
  <c r="J751" i="22" s="1"/>
  <c r="R751" i="22"/>
  <c r="Q751" i="22"/>
  <c r="P751" i="22"/>
  <c r="O751" i="22"/>
  <c r="N751" i="22"/>
  <c r="R749" i="22"/>
  <c r="R748" i="22" s="1"/>
  <c r="R747" i="22" s="1"/>
  <c r="Q749" i="22"/>
  <c r="Q748" i="22" s="1"/>
  <c r="Q747" i="22" s="1"/>
  <c r="N749" i="22"/>
  <c r="N748" i="22" s="1"/>
  <c r="N747" i="22" s="1"/>
  <c r="R743" i="22"/>
  <c r="R742" i="22" s="1"/>
  <c r="Q743" i="22"/>
  <c r="Q742" i="22" s="1"/>
  <c r="P743" i="22"/>
  <c r="P742" i="22" s="1"/>
  <c r="O743" i="22"/>
  <c r="O742" i="22" s="1"/>
  <c r="N743" i="22"/>
  <c r="N742" i="22" s="1"/>
  <c r="M743" i="22"/>
  <c r="M742" i="22" s="1"/>
  <c r="L743" i="22"/>
  <c r="L742" i="22" s="1"/>
  <c r="J743" i="22"/>
  <c r="J742" i="22" s="1"/>
  <c r="M739" i="22"/>
  <c r="L739" i="22"/>
  <c r="R737" i="22"/>
  <c r="R736" i="22" s="1"/>
  <c r="Q737" i="22"/>
  <c r="Q736" i="22" s="1"/>
  <c r="P737" i="22"/>
  <c r="P736" i="22" s="1"/>
  <c r="O737" i="22"/>
  <c r="O736" i="22" s="1"/>
  <c r="N737" i="22"/>
  <c r="N736" i="22" s="1"/>
  <c r="M736" i="22"/>
  <c r="L736" i="22"/>
  <c r="R734" i="22"/>
  <c r="R733" i="22" s="1"/>
  <c r="Q734" i="22"/>
  <c r="Q733" i="22" s="1"/>
  <c r="N734" i="22"/>
  <c r="N733" i="22" s="1"/>
  <c r="J732" i="22"/>
  <c r="J731" i="22" s="1"/>
  <c r="J730" i="22" s="1"/>
  <c r="R731" i="22"/>
  <c r="R730" i="22" s="1"/>
  <c r="Q731" i="22"/>
  <c r="Q730" i="22" s="1"/>
  <c r="P731" i="22"/>
  <c r="P730" i="22" s="1"/>
  <c r="O731" i="22"/>
  <c r="O730" i="22" s="1"/>
  <c r="N731" i="22"/>
  <c r="N730" i="22" s="1"/>
  <c r="R728" i="22"/>
  <c r="R727" i="22" s="1"/>
  <c r="Q728" i="22"/>
  <c r="Q727" i="22" s="1"/>
  <c r="P728" i="22"/>
  <c r="P727" i="22" s="1"/>
  <c r="O728" i="22"/>
  <c r="O727" i="22" s="1"/>
  <c r="N728" i="22"/>
  <c r="N727" i="22" s="1"/>
  <c r="J728" i="22"/>
  <c r="J727" i="22" s="1"/>
  <c r="R725" i="22"/>
  <c r="R724" i="22" s="1"/>
  <c r="Q725" i="22"/>
  <c r="Q724" i="22" s="1"/>
  <c r="P725" i="22"/>
  <c r="P724" i="22" s="1"/>
  <c r="O725" i="22"/>
  <c r="O724" i="22" s="1"/>
  <c r="N725" i="22"/>
  <c r="N724" i="22" s="1"/>
  <c r="J725" i="22"/>
  <c r="J724" i="22" s="1"/>
  <c r="R722" i="22"/>
  <c r="Q722" i="22"/>
  <c r="P722" i="22"/>
  <c r="O722" i="22"/>
  <c r="N722" i="22"/>
  <c r="M722" i="22"/>
  <c r="L722" i="22"/>
  <c r="K722" i="22"/>
  <c r="J722" i="22"/>
  <c r="J718" i="22" s="1"/>
  <c r="R720" i="22"/>
  <c r="Q720" i="22"/>
  <c r="P720" i="22"/>
  <c r="O720" i="22"/>
  <c r="J702" i="22"/>
  <c r="J701" i="22" s="1"/>
  <c r="J697" i="22" s="1"/>
  <c r="J696" i="22" s="1"/>
  <c r="R701" i="22"/>
  <c r="R697" i="22" s="1"/>
  <c r="R696" i="22" s="1"/>
  <c r="Q701" i="22"/>
  <c r="Q697" i="22" s="1"/>
  <c r="Q696" i="22" s="1"/>
  <c r="P701" i="22"/>
  <c r="P697" i="22" s="1"/>
  <c r="P696" i="22" s="1"/>
  <c r="O701" i="22"/>
  <c r="O697" i="22" s="1"/>
  <c r="O696" i="22" s="1"/>
  <c r="M697" i="22"/>
  <c r="M696" i="22" s="1"/>
  <c r="L697" i="22"/>
  <c r="L696" i="22" s="1"/>
  <c r="R694" i="22"/>
  <c r="R692" i="22" s="1"/>
  <c r="Q694" i="22"/>
  <c r="Q692" i="22" s="1"/>
  <c r="P694" i="22"/>
  <c r="P692" i="22" s="1"/>
  <c r="O694" i="22"/>
  <c r="O692" i="22" s="1"/>
  <c r="J694" i="22"/>
  <c r="J692" i="22" s="1"/>
  <c r="M692" i="22"/>
  <c r="L692" i="22"/>
  <c r="R690" i="22"/>
  <c r="R689" i="22" s="1"/>
  <c r="Q690" i="22"/>
  <c r="Q689" i="22" s="1"/>
  <c r="N690" i="22"/>
  <c r="N689" i="22" s="1"/>
  <c r="N687" i="22"/>
  <c r="R683" i="22"/>
  <c r="R681" i="22" s="1"/>
  <c r="Q683" i="22"/>
  <c r="Q681" i="22" s="1"/>
  <c r="N683" i="22"/>
  <c r="R675" i="22"/>
  <c r="R674" i="22" s="1"/>
  <c r="Q675" i="22"/>
  <c r="Q674" i="22" s="1"/>
  <c r="P675" i="22"/>
  <c r="P674" i="22" s="1"/>
  <c r="O675" i="22"/>
  <c r="O674" i="22" s="1"/>
  <c r="N675" i="22"/>
  <c r="N674" i="22" s="1"/>
  <c r="J675" i="22"/>
  <c r="J674" i="22" s="1"/>
  <c r="M674" i="22"/>
  <c r="L674" i="22"/>
  <c r="R672" i="22"/>
  <c r="R671" i="22" s="1"/>
  <c r="Q672" i="22"/>
  <c r="Q671" i="22" s="1"/>
  <c r="P672" i="22"/>
  <c r="P671" i="22" s="1"/>
  <c r="O672" i="22"/>
  <c r="O671" i="22" s="1"/>
  <c r="N672" i="22"/>
  <c r="N671" i="22" s="1"/>
  <c r="J672" i="22"/>
  <c r="J671" i="22" s="1"/>
  <c r="M671" i="22"/>
  <c r="L671" i="22"/>
  <c r="R665" i="22"/>
  <c r="Q665" i="22"/>
  <c r="P665" i="22"/>
  <c r="O665" i="22"/>
  <c r="N665" i="22"/>
  <c r="J665" i="22"/>
  <c r="J661" i="22"/>
  <c r="J660" i="22" s="1"/>
  <c r="J658" i="22" s="1"/>
  <c r="R660" i="22"/>
  <c r="R658" i="22" s="1"/>
  <c r="Q660" i="22"/>
  <c r="Q658" i="22" s="1"/>
  <c r="P660" i="22"/>
  <c r="P658" i="22" s="1"/>
  <c r="O660" i="22"/>
  <c r="O658" i="22" s="1"/>
  <c r="N660" i="22"/>
  <c r="M658" i="22"/>
  <c r="L658" i="22"/>
  <c r="N656" i="22"/>
  <c r="N655" i="22" s="1"/>
  <c r="R653" i="22"/>
  <c r="R651" i="22" s="1"/>
  <c r="Q653" i="22"/>
  <c r="Q651" i="22" s="1"/>
  <c r="P653" i="22"/>
  <c r="P651" i="22" s="1"/>
  <c r="O653" i="22"/>
  <c r="O651" i="22" s="1"/>
  <c r="N653" i="22"/>
  <c r="M653" i="22"/>
  <c r="L653" i="22"/>
  <c r="K653" i="22"/>
  <c r="J653" i="22"/>
  <c r="J651" i="22" s="1"/>
  <c r="R645" i="22"/>
  <c r="R650" i="22" s="1"/>
  <c r="R649" i="22" s="1"/>
  <c r="Q645" i="22"/>
  <c r="Q650" i="22" s="1"/>
  <c r="Q649" i="22" s="1"/>
  <c r="P645" i="22"/>
  <c r="P650" i="22" s="1"/>
  <c r="P649" i="22" s="1"/>
  <c r="O645" i="22"/>
  <c r="O650" i="22" s="1"/>
  <c r="O649" i="22" s="1"/>
  <c r="N643" i="22"/>
  <c r="J644" i="22"/>
  <c r="J643" i="22" s="1"/>
  <c r="R643" i="22"/>
  <c r="Q643" i="22"/>
  <c r="P643" i="22"/>
  <c r="O643" i="22"/>
  <c r="N641" i="22"/>
  <c r="R638" i="22"/>
  <c r="Q638" i="22"/>
  <c r="P638" i="22"/>
  <c r="O638" i="22"/>
  <c r="N638" i="22"/>
  <c r="J638" i="22"/>
  <c r="R636" i="22"/>
  <c r="Q636" i="22"/>
  <c r="P636" i="22"/>
  <c r="P634" i="22" s="1"/>
  <c r="O636" i="22"/>
  <c r="O634" i="22" s="1"/>
  <c r="J636" i="22"/>
  <c r="J634" i="22" s="1"/>
  <c r="M634" i="22"/>
  <c r="M631" i="22" s="1"/>
  <c r="L634" i="22"/>
  <c r="L631" i="22" s="1"/>
  <c r="R633" i="22"/>
  <c r="R632" i="22" s="1"/>
  <c r="R631" i="22" s="1"/>
  <c r="Q633" i="22"/>
  <c r="Q632" i="22" s="1"/>
  <c r="Q631" i="22" s="1"/>
  <c r="P633" i="22"/>
  <c r="P632" i="22" s="1"/>
  <c r="P631" i="22" s="1"/>
  <c r="O633" i="22"/>
  <c r="O632" i="22" s="1"/>
  <c r="O631" i="22" s="1"/>
  <c r="J630" i="22"/>
  <c r="J629" i="22" s="1"/>
  <c r="J627" i="22" s="1"/>
  <c r="J626" i="22" s="1"/>
  <c r="J625" i="22" s="1"/>
  <c r="R629" i="22"/>
  <c r="R627" i="22" s="1"/>
  <c r="R626" i="22" s="1"/>
  <c r="R625" i="22" s="1"/>
  <c r="Q629" i="22"/>
  <c r="Q627" i="22" s="1"/>
  <c r="Q626" i="22" s="1"/>
  <c r="Q625" i="22" s="1"/>
  <c r="P629" i="22"/>
  <c r="P627" i="22" s="1"/>
  <c r="P626" i="22" s="1"/>
  <c r="P625" i="22" s="1"/>
  <c r="O629" i="22"/>
  <c r="O627" i="22" s="1"/>
  <c r="O626" i="22" s="1"/>
  <c r="O625" i="22" s="1"/>
  <c r="N629" i="22"/>
  <c r="M627" i="22"/>
  <c r="L627" i="22"/>
  <c r="R624" i="22"/>
  <c r="R623" i="22" s="1"/>
  <c r="R622" i="22" s="1"/>
  <c r="R621" i="22" s="1"/>
  <c r="R620" i="22" s="1"/>
  <c r="Q624" i="22"/>
  <c r="Q623" i="22" s="1"/>
  <c r="Q622" i="22" s="1"/>
  <c r="Q621" i="22" s="1"/>
  <c r="Q620" i="22" s="1"/>
  <c r="N624" i="22"/>
  <c r="N623" i="22" s="1"/>
  <c r="N622" i="22" s="1"/>
  <c r="N621" i="22" s="1"/>
  <c r="N620" i="22" s="1"/>
  <c r="P623" i="22"/>
  <c r="P622" i="22" s="1"/>
  <c r="P621" i="22" s="1"/>
  <c r="P620" i="22" s="1"/>
  <c r="P542" i="22" s="1"/>
  <c r="O623" i="22"/>
  <c r="O622" i="22" s="1"/>
  <c r="O621" i="22" s="1"/>
  <c r="O620" i="22" s="1"/>
  <c r="O542" i="22" s="1"/>
  <c r="O549" i="22" s="1"/>
  <c r="R618" i="22"/>
  <c r="R617" i="22" s="1"/>
  <c r="R616" i="22" s="1"/>
  <c r="R615" i="22" s="1"/>
  <c r="Q618" i="22"/>
  <c r="Q617" i="22" s="1"/>
  <c r="Q616" i="22" s="1"/>
  <c r="Q615" i="22" s="1"/>
  <c r="P618" i="22"/>
  <c r="P617" i="22" s="1"/>
  <c r="P616" i="22" s="1"/>
  <c r="P615" i="22" s="1"/>
  <c r="O618" i="22"/>
  <c r="O617" i="22" s="1"/>
  <c r="O616" i="22" s="1"/>
  <c r="O615" i="22" s="1"/>
  <c r="N618" i="22"/>
  <c r="N617" i="22" s="1"/>
  <c r="N616" i="22" s="1"/>
  <c r="N615" i="22" s="1"/>
  <c r="J618" i="22"/>
  <c r="J617" i="22" s="1"/>
  <c r="J616" i="22" s="1"/>
  <c r="J615" i="22" s="1"/>
  <c r="M617" i="22"/>
  <c r="M616" i="22" s="1"/>
  <c r="M615" i="22" s="1"/>
  <c r="L617" i="22"/>
  <c r="L616" i="22" s="1"/>
  <c r="L615" i="22" s="1"/>
  <c r="J614" i="22"/>
  <c r="J613" i="22" s="1"/>
  <c r="R613" i="22"/>
  <c r="Q613" i="22"/>
  <c r="P613" i="22"/>
  <c r="O613" i="22"/>
  <c r="M611" i="22"/>
  <c r="L611" i="22"/>
  <c r="J611" i="22"/>
  <c r="R610" i="22"/>
  <c r="Q610" i="22"/>
  <c r="P610" i="22"/>
  <c r="O610" i="22"/>
  <c r="N610" i="22"/>
  <c r="M610" i="22"/>
  <c r="M609" i="22" s="1"/>
  <c r="L610" i="22"/>
  <c r="L609" i="22" s="1"/>
  <c r="J610" i="22"/>
  <c r="P607" i="22"/>
  <c r="O607" i="22"/>
  <c r="P605" i="22"/>
  <c r="O605" i="22"/>
  <c r="J605" i="22"/>
  <c r="R602" i="22"/>
  <c r="R601" i="22" s="1"/>
  <c r="Q602" i="22"/>
  <c r="Q601" i="22" s="1"/>
  <c r="P602" i="22"/>
  <c r="O602" i="22"/>
  <c r="O601" i="22" s="1"/>
  <c r="N602" i="22"/>
  <c r="N601" i="22" s="1"/>
  <c r="J602" i="22"/>
  <c r="J601" i="22" s="1"/>
  <c r="P601" i="22"/>
  <c r="M601" i="22"/>
  <c r="L601" i="22"/>
  <c r="R599" i="22"/>
  <c r="R597" i="22" s="1"/>
  <c r="Q599" i="22"/>
  <c r="Q597" i="22" s="1"/>
  <c r="P599" i="22"/>
  <c r="P597" i="22" s="1"/>
  <c r="O599" i="22"/>
  <c r="O597" i="22" s="1"/>
  <c r="N599" i="22"/>
  <c r="N597" i="22" s="1"/>
  <c r="J599" i="22"/>
  <c r="J597" i="22" s="1"/>
  <c r="M597" i="22"/>
  <c r="L597" i="22"/>
  <c r="R595" i="22"/>
  <c r="R594" i="22" s="1"/>
  <c r="Q595" i="22"/>
  <c r="Q594" i="22" s="1"/>
  <c r="P595" i="22"/>
  <c r="P594" i="22" s="1"/>
  <c r="O595" i="22"/>
  <c r="O594" i="22" s="1"/>
  <c r="N595" i="22"/>
  <c r="N594" i="22" s="1"/>
  <c r="J595" i="22"/>
  <c r="J594" i="22" s="1"/>
  <c r="M594" i="22"/>
  <c r="L594" i="22"/>
  <c r="R592" i="22"/>
  <c r="R591" i="22" s="1"/>
  <c r="R590" i="22" s="1"/>
  <c r="R589" i="22" s="1"/>
  <c r="Q592" i="22"/>
  <c r="Q591" i="22" s="1"/>
  <c r="Q590" i="22" s="1"/>
  <c r="Q589" i="22" s="1"/>
  <c r="P592" i="22"/>
  <c r="P591" i="22" s="1"/>
  <c r="P590" i="22" s="1"/>
  <c r="P589" i="22" s="1"/>
  <c r="O592" i="22"/>
  <c r="O591" i="22" s="1"/>
  <c r="O590" i="22" s="1"/>
  <c r="O589" i="22" s="1"/>
  <c r="N592" i="22"/>
  <c r="N591" i="22" s="1"/>
  <c r="N590" i="22" s="1"/>
  <c r="N589" i="22" s="1"/>
  <c r="J592" i="22"/>
  <c r="J591" i="22" s="1"/>
  <c r="J590" i="22" s="1"/>
  <c r="J589" i="22" s="1"/>
  <c r="M591" i="22"/>
  <c r="L591" i="22"/>
  <c r="R587" i="22"/>
  <c r="R586" i="22" s="1"/>
  <c r="Q587" i="22"/>
  <c r="Q586" i="22" s="1"/>
  <c r="P587" i="22"/>
  <c r="P586" i="22" s="1"/>
  <c r="O587" i="22"/>
  <c r="O586" i="22" s="1"/>
  <c r="N587" i="22"/>
  <c r="N586" i="22" s="1"/>
  <c r="J587" i="22"/>
  <c r="J586" i="22" s="1"/>
  <c r="R582" i="22"/>
  <c r="R580" i="22" s="1"/>
  <c r="Q582" i="22"/>
  <c r="Q580" i="22" s="1"/>
  <c r="P582" i="22"/>
  <c r="P580" i="22" s="1"/>
  <c r="O582" i="22"/>
  <c r="O580" i="22" s="1"/>
  <c r="N582" i="22"/>
  <c r="J582" i="22"/>
  <c r="J580" i="22" s="1"/>
  <c r="R578" i="22"/>
  <c r="R576" i="22" s="1"/>
  <c r="Q578" i="22"/>
  <c r="Q576" i="22" s="1"/>
  <c r="P578" i="22"/>
  <c r="P576" i="22" s="1"/>
  <c r="O578" i="22"/>
  <c r="O576" i="22" s="1"/>
  <c r="J578" i="22"/>
  <c r="J576" i="22" s="1"/>
  <c r="R575" i="22"/>
  <c r="Q575" i="22"/>
  <c r="P575" i="22"/>
  <c r="O575" i="22"/>
  <c r="M575" i="22"/>
  <c r="L575" i="22"/>
  <c r="J575" i="22"/>
  <c r="L573" i="22"/>
  <c r="M573" i="22" s="1"/>
  <c r="N565" i="22"/>
  <c r="N575" i="22"/>
  <c r="R563" i="22"/>
  <c r="Q563" i="22"/>
  <c r="P563" i="22"/>
  <c r="O563" i="22"/>
  <c r="J563" i="22"/>
  <c r="J560" i="22"/>
  <c r="J559" i="22" s="1"/>
  <c r="R559" i="22"/>
  <c r="Q559" i="22"/>
  <c r="P559" i="22"/>
  <c r="O559" i="22"/>
  <c r="N559" i="22"/>
  <c r="R558" i="22"/>
  <c r="Q558" i="22"/>
  <c r="P558" i="22"/>
  <c r="O558" i="22"/>
  <c r="N558" i="22"/>
  <c r="N557" i="22" s="1"/>
  <c r="M558" i="22"/>
  <c r="L558" i="22"/>
  <c r="J556" i="22"/>
  <c r="J554" i="22"/>
  <c r="R553" i="22"/>
  <c r="Q553" i="22"/>
  <c r="P553" i="22"/>
  <c r="O553" i="22"/>
  <c r="M553" i="22"/>
  <c r="M550" i="22" s="1"/>
  <c r="L553" i="22"/>
  <c r="L550" i="22" s="1"/>
  <c r="R551" i="22"/>
  <c r="Q551" i="22"/>
  <c r="R550" i="22"/>
  <c r="Q550" i="22"/>
  <c r="R549" i="22"/>
  <c r="Q549" i="22"/>
  <c r="R547" i="22"/>
  <c r="R545" i="22" s="1"/>
  <c r="R544" i="22" s="1"/>
  <c r="R543" i="22" s="1"/>
  <c r="Q547" i="22"/>
  <c r="Q545" i="22" s="1"/>
  <c r="Q544" i="22" s="1"/>
  <c r="Q543" i="22" s="1"/>
  <c r="N547" i="22"/>
  <c r="N525" i="22"/>
  <c r="N524" i="22" s="1"/>
  <c r="N523" i="22" s="1"/>
  <c r="N522" i="22" s="1"/>
  <c r="N518" i="22"/>
  <c r="N517" i="22" s="1"/>
  <c r="N516" i="22" s="1"/>
  <c r="N511" i="22" s="1"/>
  <c r="N509" i="22" s="1"/>
  <c r="R502" i="22"/>
  <c r="R501" i="22" s="1"/>
  <c r="R500" i="22" s="1"/>
  <c r="R499" i="22" s="1"/>
  <c r="Q502" i="22"/>
  <c r="Q501" i="22" s="1"/>
  <c r="Q500" i="22" s="1"/>
  <c r="Q499" i="22" s="1"/>
  <c r="P502" i="22"/>
  <c r="P501" i="22" s="1"/>
  <c r="P500" i="22" s="1"/>
  <c r="P499" i="22" s="1"/>
  <c r="O502" i="22"/>
  <c r="O501" i="22" s="1"/>
  <c r="O500" i="22" s="1"/>
  <c r="O499" i="22" s="1"/>
  <c r="N502" i="22"/>
  <c r="N501" i="22" s="1"/>
  <c r="N500" i="22" s="1"/>
  <c r="N499" i="22" s="1"/>
  <c r="J502" i="22"/>
  <c r="J501" i="22" s="1"/>
  <c r="J500" i="22" s="1"/>
  <c r="J499" i="22" s="1"/>
  <c r="M501" i="22"/>
  <c r="M499" i="22" s="1"/>
  <c r="L501" i="22"/>
  <c r="L499" i="22" s="1"/>
  <c r="R495" i="22"/>
  <c r="R494" i="22" s="1"/>
  <c r="R493" i="22" s="1"/>
  <c r="R492" i="22" s="1"/>
  <c r="R490" i="22" s="1"/>
  <c r="Q495" i="22"/>
  <c r="Q494" i="22" s="1"/>
  <c r="Q493" i="22" s="1"/>
  <c r="Q492" i="22" s="1"/>
  <c r="Q490" i="22" s="1"/>
  <c r="R488" i="22"/>
  <c r="R487" i="22" s="1"/>
  <c r="R486" i="22" s="1"/>
  <c r="R485" i="22" s="1"/>
  <c r="Q488" i="22"/>
  <c r="Q487" i="22" s="1"/>
  <c r="Q486" i="22" s="1"/>
  <c r="Q485" i="22" s="1"/>
  <c r="N414" i="22"/>
  <c r="N413" i="22" s="1"/>
  <c r="N412" i="22" s="1"/>
  <c r="N411" i="22" s="1"/>
  <c r="N410" i="22" s="1"/>
  <c r="N408" i="22"/>
  <c r="N407" i="22" s="1"/>
  <c r="N406" i="22" s="1"/>
  <c r="N405" i="22" s="1"/>
  <c r="N404" i="22" s="1"/>
  <c r="N402" i="22"/>
  <c r="N401" i="22" s="1"/>
  <c r="N400" i="22" s="1"/>
  <c r="N399" i="22" s="1"/>
  <c r="N398" i="22" s="1"/>
  <c r="N397" i="22"/>
  <c r="N390" i="22"/>
  <c r="N389" i="22" s="1"/>
  <c r="Q390" i="22"/>
  <c r="P390" i="22"/>
  <c r="O390" i="22"/>
  <c r="R390" i="22"/>
  <c r="N387" i="22"/>
  <c r="R387" i="22"/>
  <c r="R384" i="22" s="1"/>
  <c r="Q387" i="22"/>
  <c r="Q384" i="22" s="1"/>
  <c r="P387" i="22"/>
  <c r="P384" i="22" s="1"/>
  <c r="O387" i="22"/>
  <c r="O384" i="22" s="1"/>
  <c r="N385" i="22"/>
  <c r="R378" i="22"/>
  <c r="Q378" i="22"/>
  <c r="N378" i="22"/>
  <c r="R374" i="22"/>
  <c r="Q374" i="22"/>
  <c r="P374" i="22"/>
  <c r="P372" i="22" s="1"/>
  <c r="O374" i="22"/>
  <c r="O372" i="22" s="1"/>
  <c r="N374" i="22"/>
  <c r="J374" i="22"/>
  <c r="J372" i="22" s="1"/>
  <c r="M372" i="22"/>
  <c r="L372" i="22"/>
  <c r="N368" i="22"/>
  <c r="R368" i="22"/>
  <c r="Q368" i="22"/>
  <c r="P368" i="22"/>
  <c r="O368" i="22"/>
  <c r="M368" i="22"/>
  <c r="L368" i="22"/>
  <c r="J368" i="22"/>
  <c r="R364" i="22"/>
  <c r="R363" i="22" s="1"/>
  <c r="R361" i="22" s="1"/>
  <c r="N363" i="22"/>
  <c r="R356" i="22"/>
  <c r="R354" i="22" s="1"/>
  <c r="R352" i="22" s="1"/>
  <c r="R351" i="22" s="1"/>
  <c r="N354" i="22"/>
  <c r="N352" i="22" s="1"/>
  <c r="N351" i="22" s="1"/>
  <c r="N350" i="22" s="1"/>
  <c r="N340" i="22" s="1"/>
  <c r="Q354" i="22"/>
  <c r="Q352" i="22" s="1"/>
  <c r="Q351" i="22" s="1"/>
  <c r="Q340" i="22" s="1"/>
  <c r="Q338" i="22" s="1"/>
  <c r="Q336" i="22" s="1"/>
  <c r="P354" i="22"/>
  <c r="P352" i="22" s="1"/>
  <c r="P351" i="22" s="1"/>
  <c r="P340" i="22" s="1"/>
  <c r="O354" i="22"/>
  <c r="O352" i="22" s="1"/>
  <c r="O351" i="22" s="1"/>
  <c r="O340" i="22" s="1"/>
  <c r="J354" i="22"/>
  <c r="J352" i="22" s="1"/>
  <c r="J351" i="22" s="1"/>
  <c r="J340" i="22" s="1"/>
  <c r="M352" i="22"/>
  <c r="M340" i="22" s="1"/>
  <c r="L352" i="22"/>
  <c r="L340" i="22" s="1"/>
  <c r="P338" i="22"/>
  <c r="P336" i="22" s="1"/>
  <c r="P332" i="22" s="1"/>
  <c r="P331" i="22" s="1"/>
  <c r="P329" i="22" s="1"/>
  <c r="P327" i="22" s="1"/>
  <c r="O338" i="22"/>
  <c r="O336" i="22" s="1"/>
  <c r="O332" i="22" s="1"/>
  <c r="N338" i="22"/>
  <c r="J338" i="22"/>
  <c r="J336" i="22" s="1"/>
  <c r="J332" i="22" s="1"/>
  <c r="J331" i="22" s="1"/>
  <c r="J329" i="22" s="1"/>
  <c r="J327" i="22" s="1"/>
  <c r="R334" i="22"/>
  <c r="R333" i="22" s="1"/>
  <c r="Q334" i="22"/>
  <c r="Q333" i="22" s="1"/>
  <c r="P334" i="22"/>
  <c r="P333" i="22" s="1"/>
  <c r="O334" i="22"/>
  <c r="O333" i="22" s="1"/>
  <c r="N334" i="22"/>
  <c r="N333" i="22" s="1"/>
  <c r="M332" i="22"/>
  <c r="M331" i="22" s="1"/>
  <c r="L332" i="22"/>
  <c r="L331" i="22" s="1"/>
  <c r="O331" i="22"/>
  <c r="O329" i="22"/>
  <c r="O327" i="22" s="1"/>
  <c r="L321" i="22"/>
  <c r="R319" i="22"/>
  <c r="Q319" i="22"/>
  <c r="P319" i="22"/>
  <c r="P317" i="22" s="1"/>
  <c r="O319" i="22"/>
  <c r="O317" i="22" s="1"/>
  <c r="L319" i="22"/>
  <c r="L313" i="22" s="1"/>
  <c r="L311" i="22" s="1"/>
  <c r="J319" i="22"/>
  <c r="J317" i="22" s="1"/>
  <c r="R315" i="22"/>
  <c r="R313" i="22" s="1"/>
  <c r="Q315" i="22"/>
  <c r="Q313" i="22" s="1"/>
  <c r="P315" i="22"/>
  <c r="P313" i="22" s="1"/>
  <c r="P308" i="22" s="1"/>
  <c r="P305" i="22" s="1"/>
  <c r="P304" i="22" s="1"/>
  <c r="P303" i="22" s="1"/>
  <c r="P301" i="22" s="1"/>
  <c r="P299" i="22" s="1"/>
  <c r="O315" i="22"/>
  <c r="O313" i="22" s="1"/>
  <c r="O308" i="22" s="1"/>
  <c r="O305" i="22" s="1"/>
  <c r="O304" i="22" s="1"/>
  <c r="O303" i="22" s="1"/>
  <c r="O301" i="22" s="1"/>
  <c r="O299" i="22" s="1"/>
  <c r="O298" i="22" s="1"/>
  <c r="O296" i="22" s="1"/>
  <c r="O294" i="22" s="1"/>
  <c r="J315" i="22"/>
  <c r="J313" i="22" s="1"/>
  <c r="M313" i="22"/>
  <c r="M311" i="22" s="1"/>
  <c r="O312" i="22"/>
  <c r="O311" i="22" s="1"/>
  <c r="R308" i="22"/>
  <c r="R305" i="22" s="1"/>
  <c r="R304" i="22" s="1"/>
  <c r="R303" i="22" s="1"/>
  <c r="Q308" i="22"/>
  <c r="Q305" i="22" s="1"/>
  <c r="Q304" i="22" s="1"/>
  <c r="Q303" i="22" s="1"/>
  <c r="M305" i="22"/>
  <c r="M303" i="22" s="1"/>
  <c r="J305" i="22"/>
  <c r="J303" i="22" s="1"/>
  <c r="J304" i="22" s="1"/>
  <c r="R301" i="22"/>
  <c r="R299" i="22" s="1"/>
  <c r="R298" i="22" s="1"/>
  <c r="Q301" i="22"/>
  <c r="Q299" i="22" s="1"/>
  <c r="Q298" i="22" s="1"/>
  <c r="M299" i="22"/>
  <c r="L299" i="22"/>
  <c r="R296" i="22"/>
  <c r="R294" i="22" s="1"/>
  <c r="R293" i="22" s="1"/>
  <c r="Q296" i="22"/>
  <c r="Q294" i="22" s="1"/>
  <c r="Q293" i="22" s="1"/>
  <c r="R291" i="22"/>
  <c r="R290" i="22" s="1"/>
  <c r="R289" i="22" s="1"/>
  <c r="Q291" i="22"/>
  <c r="Q290" i="22" s="1"/>
  <c r="Q289" i="22" s="1"/>
  <c r="P291" i="22"/>
  <c r="P290" i="22" s="1"/>
  <c r="P289" i="22" s="1"/>
  <c r="O291" i="22"/>
  <c r="O290" i="22" s="1"/>
  <c r="O289" i="22" s="1"/>
  <c r="N291" i="22"/>
  <c r="N290" i="22" s="1"/>
  <c r="N289" i="22" s="1"/>
  <c r="J291" i="22"/>
  <c r="J290" i="22" s="1"/>
  <c r="M290" i="22"/>
  <c r="L290" i="22"/>
  <c r="M282" i="22"/>
  <c r="M280" i="22" s="1"/>
  <c r="M271" i="22" s="1"/>
  <c r="L282" i="22"/>
  <c r="L280" i="22" s="1"/>
  <c r="L271" i="22" s="1"/>
  <c r="M270" i="22"/>
  <c r="P269" i="22"/>
  <c r="O269" i="22"/>
  <c r="J269" i="22"/>
  <c r="R266" i="22"/>
  <c r="Q266" i="22"/>
  <c r="P266" i="22"/>
  <c r="O266" i="22"/>
  <c r="L266" i="22"/>
  <c r="L270" i="22" s="1"/>
  <c r="J266" i="22"/>
  <c r="R263" i="22"/>
  <c r="Q263" i="22"/>
  <c r="P263" i="22"/>
  <c r="O263" i="22"/>
  <c r="J263" i="22"/>
  <c r="M261" i="22"/>
  <c r="M259" i="22" s="1"/>
  <c r="M248" i="22" s="1"/>
  <c r="R247" i="22"/>
  <c r="R246" i="22" s="1"/>
  <c r="R244" i="22" s="1"/>
  <c r="Q247" i="22"/>
  <c r="Q246" i="22" s="1"/>
  <c r="Q244" i="22" s="1"/>
  <c r="P246" i="22"/>
  <c r="P244" i="22" s="1"/>
  <c r="P230" i="22" s="1"/>
  <c r="O246" i="22"/>
  <c r="O244" i="22" s="1"/>
  <c r="O230" i="22" s="1"/>
  <c r="J246" i="22"/>
  <c r="J244" i="22" s="1"/>
  <c r="M244" i="22"/>
  <c r="M230" i="22" s="1"/>
  <c r="L244" i="22"/>
  <c r="L230" i="22" s="1"/>
  <c r="R241" i="22"/>
  <c r="Q241" i="22"/>
  <c r="R222" i="22"/>
  <c r="R218" i="22" s="1"/>
  <c r="R216" i="22" s="1"/>
  <c r="R209" i="22" s="1"/>
  <c r="R206" i="22" s="1"/>
  <c r="R205" i="22" s="1"/>
  <c r="Q222" i="22"/>
  <c r="Q220" i="22" s="1"/>
  <c r="P222" i="22"/>
  <c r="P220" i="22" s="1"/>
  <c r="O222" i="22"/>
  <c r="O220" i="22" s="1"/>
  <c r="J222" i="22"/>
  <c r="J220" i="22" s="1"/>
  <c r="M218" i="22"/>
  <c r="M216" i="22" s="1"/>
  <c r="L218" i="22"/>
  <c r="L216" i="22" s="1"/>
  <c r="P209" i="22"/>
  <c r="P206" i="22" s="1"/>
  <c r="P205" i="22" s="1"/>
  <c r="R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O188" i="22" s="1"/>
  <c r="N189" i="22"/>
  <c r="N188" i="22" s="1"/>
  <c r="L189" i="22"/>
  <c r="L188" i="22" s="1"/>
  <c r="J189" i="22"/>
  <c r="J188" i="22" s="1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Q173" i="22" s="1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73" i="22"/>
  <c r="R169" i="22"/>
  <c r="R168" i="22" s="1"/>
  <c r="R167" i="22" s="1"/>
  <c r="R166" i="22" s="1"/>
  <c r="Q169" i="22"/>
  <c r="Q168" i="22" s="1"/>
  <c r="Q167" i="22" s="1"/>
  <c r="Q166" i="22" s="1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N162" i="22" s="1"/>
  <c r="N161" i="22" s="1"/>
  <c r="N160" i="22" s="1"/>
  <c r="N159" i="22" s="1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Q138" i="22"/>
  <c r="Q137" i="22" s="1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7" i="22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Q119" i="22"/>
  <c r="P119" i="22"/>
  <c r="O119" i="22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18" i="22"/>
  <c r="R112" i="22" s="1"/>
  <c r="Q118" i="22"/>
  <c r="Q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Q105" i="22"/>
  <c r="P105" i="22"/>
  <c r="O105" i="22"/>
  <c r="N105" i="22"/>
  <c r="N104" i="22" s="1"/>
  <c r="M105" i="22"/>
  <c r="L105" i="22"/>
  <c r="L104" i="22" s="1"/>
  <c r="J105" i="22"/>
  <c r="J104" i="22" s="1"/>
  <c r="R104" i="22"/>
  <c r="Q104" i="22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Q72" i="22"/>
  <c r="P72" i="22"/>
  <c r="P71" i="22" s="1"/>
  <c r="P70" i="22" s="1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71" i="22"/>
  <c r="R70" i="22" s="1"/>
  <c r="Q71" i="22"/>
  <c r="Q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N510" i="22" l="1"/>
  <c r="Q470" i="22"/>
  <c r="R470" i="22"/>
  <c r="V294" i="22"/>
  <c r="V293" i="22" s="1"/>
  <c r="V288" i="22" s="1"/>
  <c r="V287" i="22" s="1"/>
  <c r="W295" i="22"/>
  <c r="P218" i="22"/>
  <c r="P216" i="22" s="1"/>
  <c r="P207" i="22" s="1"/>
  <c r="Q332" i="22"/>
  <c r="Q331" i="22" s="1"/>
  <c r="Q329" i="22" s="1"/>
  <c r="Q327" i="22" s="1"/>
  <c r="Q312" i="22"/>
  <c r="Q311" i="22" s="1"/>
  <c r="W284" i="22"/>
  <c r="W287" i="22"/>
  <c r="J312" i="22"/>
  <c r="J311" i="22" s="1"/>
  <c r="J310" i="22" s="1"/>
  <c r="Q317" i="22"/>
  <c r="J301" i="22"/>
  <c r="J299" i="22" s="1"/>
  <c r="J293" i="22" s="1"/>
  <c r="P312" i="22"/>
  <c r="P311" i="22" s="1"/>
  <c r="P310" i="22" s="1"/>
  <c r="V284" i="22"/>
  <c r="L305" i="22"/>
  <c r="L303" i="22" s="1"/>
  <c r="R317" i="22"/>
  <c r="N482" i="23"/>
  <c r="N481" i="23" s="1"/>
  <c r="N477" i="23" s="1"/>
  <c r="N476" i="23" s="1"/>
  <c r="N475" i="23" s="1"/>
  <c r="O118" i="22"/>
  <c r="O112" i="22" s="1"/>
  <c r="H169" i="23"/>
  <c r="H168" i="23" s="1"/>
  <c r="P118" i="22"/>
  <c r="P112" i="22" s="1"/>
  <c r="N361" i="22"/>
  <c r="N362" i="22"/>
  <c r="M104" i="22"/>
  <c r="M99" i="22" s="1"/>
  <c r="L123" i="22"/>
  <c r="O104" i="22"/>
  <c r="O99" i="22" s="1"/>
  <c r="J99" i="22"/>
  <c r="M365" i="22"/>
  <c r="P78" i="22"/>
  <c r="P77" i="22" s="1"/>
  <c r="P76" i="22" s="1"/>
  <c r="P75" i="22" s="1"/>
  <c r="N77" i="22"/>
  <c r="N76" i="22" s="1"/>
  <c r="N75" i="22" s="1"/>
  <c r="J123" i="22"/>
  <c r="O123" i="22"/>
  <c r="O750" i="22"/>
  <c r="M123" i="22"/>
  <c r="Q123" i="22"/>
  <c r="N123" i="22"/>
  <c r="R123" i="22"/>
  <c r="P750" i="22"/>
  <c r="P123" i="22"/>
  <c r="L99" i="22"/>
  <c r="N365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718" i="22"/>
  <c r="L33" i="22"/>
  <c r="L32" i="22" s="1"/>
  <c r="L31" i="22" s="1"/>
  <c r="J172" i="22"/>
  <c r="O718" i="22"/>
  <c r="N327" i="22"/>
  <c r="N326" i="22" s="1"/>
  <c r="N325" i="22" s="1"/>
  <c r="N328" i="22"/>
  <c r="N319" i="22" s="1"/>
  <c r="N317" i="22" s="1"/>
  <c r="N372" i="22"/>
  <c r="N373" i="22"/>
  <c r="P609" i="22"/>
  <c r="Q77" i="22"/>
  <c r="Q76" i="22" s="1"/>
  <c r="Q75" i="22" s="1"/>
  <c r="R77" i="22"/>
  <c r="R76" i="22" s="1"/>
  <c r="R75" i="22" s="1"/>
  <c r="L140" i="22"/>
  <c r="L136" i="22" s="1"/>
  <c r="J140" i="22"/>
  <c r="J136" i="22" s="1"/>
  <c r="M197" i="22"/>
  <c r="N692" i="22"/>
  <c r="N693" i="22"/>
  <c r="N605" i="22"/>
  <c r="N606" i="22"/>
  <c r="N336" i="22"/>
  <c r="N337" i="22"/>
  <c r="N545" i="22"/>
  <c r="N544" i="22" s="1"/>
  <c r="N543" i="22" s="1"/>
  <c r="N546" i="22"/>
  <c r="N576" i="22"/>
  <c r="N577" i="22"/>
  <c r="N580" i="22"/>
  <c r="N581" i="22"/>
  <c r="N640" i="22"/>
  <c r="N651" i="22"/>
  <c r="N652" i="22"/>
  <c r="N718" i="22"/>
  <c r="N719" i="22"/>
  <c r="N685" i="22"/>
  <c r="N686" i="22"/>
  <c r="N715" i="22"/>
  <c r="M77" i="22"/>
  <c r="M76" i="22" s="1"/>
  <c r="M75" i="22" s="1"/>
  <c r="N353" i="22"/>
  <c r="N658" i="22"/>
  <c r="N659" i="22"/>
  <c r="N789" i="22"/>
  <c r="N790" i="22"/>
  <c r="N681" i="22"/>
  <c r="N682" i="22"/>
  <c r="N609" i="22"/>
  <c r="N612" i="22"/>
  <c r="N313" i="22"/>
  <c r="N308" i="22" s="1"/>
  <c r="N307" i="22" s="1"/>
  <c r="N314" i="22"/>
  <c r="U466" i="23"/>
  <c r="U465" i="23" s="1"/>
  <c r="U464" i="23" s="1"/>
  <c r="U463" i="23" s="1"/>
  <c r="U462" i="23" s="1"/>
  <c r="R542" i="22"/>
  <c r="R541" i="22" s="1"/>
  <c r="M542" i="22"/>
  <c r="N627" i="22"/>
  <c r="N626" i="22" s="1"/>
  <c r="N625" i="22" s="1"/>
  <c r="N628" i="22"/>
  <c r="L542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99" i="22"/>
  <c r="L172" i="22"/>
  <c r="O367" i="22"/>
  <c r="O365" i="22" s="1"/>
  <c r="L645" i="22"/>
  <c r="Q718" i="22"/>
  <c r="J762" i="22"/>
  <c r="R793" i="22"/>
  <c r="O793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61" i="22"/>
  <c r="L259" i="22" s="1"/>
  <c r="L248" i="22" s="1"/>
  <c r="O261" i="22"/>
  <c r="M310" i="22"/>
  <c r="L365" i="22"/>
  <c r="Q762" i="22"/>
  <c r="Q634" i="22"/>
  <c r="O181" i="22"/>
  <c r="O179" i="22" s="1"/>
  <c r="J261" i="22"/>
  <c r="J260" i="22" s="1"/>
  <c r="M288" i="22"/>
  <c r="M287" i="22" s="1"/>
  <c r="M645" i="22"/>
  <c r="O77" i="22"/>
  <c r="O76" i="22" s="1"/>
  <c r="O75" i="22" s="1"/>
  <c r="J77" i="22"/>
  <c r="J76" i="22" s="1"/>
  <c r="J75" i="22" s="1"/>
  <c r="P104" i="22"/>
  <c r="P99" i="22" s="1"/>
  <c r="L181" i="22"/>
  <c r="L179" i="22" s="1"/>
  <c r="O550" i="22"/>
  <c r="O551" i="22" s="1"/>
  <c r="R634" i="22"/>
  <c r="N750" i="22"/>
  <c r="Q91" i="22"/>
  <c r="Q90" i="22" s="1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310" i="22"/>
  <c r="P550" i="22"/>
  <c r="P551" i="22" s="1"/>
  <c r="Q793" i="22"/>
  <c r="P793" i="22"/>
  <c r="J158" i="22"/>
  <c r="N140" i="22"/>
  <c r="N136" i="22" s="1"/>
  <c r="Q218" i="22"/>
  <c r="Q216" i="22" s="1"/>
  <c r="P367" i="22"/>
  <c r="P365" i="22" s="1"/>
  <c r="Q372" i="22"/>
  <c r="Q367" i="22" s="1"/>
  <c r="Q365" i="22" s="1"/>
  <c r="O609" i="22"/>
  <c r="P261" i="22"/>
  <c r="P260" i="22" s="1"/>
  <c r="J633" i="22"/>
  <c r="J631" i="22" s="1"/>
  <c r="J181" i="22"/>
  <c r="J609" i="22"/>
  <c r="J793" i="22"/>
  <c r="P140" i="22"/>
  <c r="P136" i="22" s="1"/>
  <c r="L310" i="22"/>
  <c r="O383" i="22"/>
  <c r="O382" i="22" s="1"/>
  <c r="Q542" i="22"/>
  <c r="Q541" i="22" s="1"/>
  <c r="Q609" i="22"/>
  <c r="P718" i="22"/>
  <c r="N37" i="22"/>
  <c r="N36" i="22" s="1"/>
  <c r="N27" i="22" s="1"/>
  <c r="Q140" i="22"/>
  <c r="Q136" i="22" s="1"/>
  <c r="M140" i="22"/>
  <c r="M136" i="22" s="1"/>
  <c r="P383" i="22"/>
  <c r="P382" i="22" s="1"/>
  <c r="O541" i="22"/>
  <c r="J553" i="22"/>
  <c r="R609" i="22"/>
  <c r="J91" i="22"/>
  <c r="J90" i="22" s="1"/>
  <c r="R140" i="22"/>
  <c r="R136" i="22" s="1"/>
  <c r="P181" i="22"/>
  <c r="P179" i="22" s="1"/>
  <c r="R220" i="22"/>
  <c r="Q230" i="22"/>
  <c r="J367" i="22"/>
  <c r="J365" i="22" s="1"/>
  <c r="Q383" i="22"/>
  <c r="Q382" i="22" s="1"/>
  <c r="J750" i="22"/>
  <c r="J645" i="22" s="1"/>
  <c r="J650" i="22" s="1"/>
  <c r="J649" i="22" s="1"/>
  <c r="Q750" i="22"/>
  <c r="R750" i="22"/>
  <c r="N793" i="22"/>
  <c r="M34" i="22"/>
  <c r="M33" i="22" s="1"/>
  <c r="M32" i="22" s="1"/>
  <c r="M31" i="22" s="1"/>
  <c r="O140" i="22"/>
  <c r="O136" i="22" s="1"/>
  <c r="R340" i="22"/>
  <c r="R338" i="22" s="1"/>
  <c r="R336" i="22" s="1"/>
  <c r="R372" i="22"/>
  <c r="R367" i="22" s="1"/>
  <c r="R365" i="22" s="1"/>
  <c r="R383" i="22"/>
  <c r="R382" i="22" s="1"/>
  <c r="Q158" i="22"/>
  <c r="Q288" i="22"/>
  <c r="N91" i="22"/>
  <c r="N90" i="22" s="1"/>
  <c r="P158" i="22"/>
  <c r="N158" i="22"/>
  <c r="O158" i="22"/>
  <c r="R197" i="22"/>
  <c r="R158" i="22"/>
  <c r="R288" i="22"/>
  <c r="P298" i="22"/>
  <c r="P296" i="22" s="1"/>
  <c r="P294" i="22" s="1"/>
  <c r="P293" i="22" s="1"/>
  <c r="P288" i="22" s="1"/>
  <c r="R91" i="22"/>
  <c r="R90" i="22" s="1"/>
  <c r="P197" i="22"/>
  <c r="M91" i="22"/>
  <c r="M90" i="22" s="1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N383" i="22"/>
  <c r="N382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9" i="22"/>
  <c r="M38" i="22" s="1"/>
  <c r="M37" i="22" s="1"/>
  <c r="M36" i="22" s="1"/>
  <c r="L38" i="22"/>
  <c r="R37" i="22"/>
  <c r="R36" i="22" s="1"/>
  <c r="R27" i="22" s="1"/>
  <c r="J230" i="22"/>
  <c r="L41" i="22"/>
  <c r="L288" i="22"/>
  <c r="J218" i="22"/>
  <c r="J216" i="22" s="1"/>
  <c r="R230" i="22"/>
  <c r="O293" i="22"/>
  <c r="O288" i="22" s="1"/>
  <c r="J289" i="22"/>
  <c r="J288" i="22" s="1"/>
  <c r="N521" i="22"/>
  <c r="N520" i="22" s="1"/>
  <c r="P549" i="22"/>
  <c r="P541" i="22"/>
  <c r="N636" i="22"/>
  <c r="N635" i="22" s="1"/>
  <c r="J558" i="22"/>
  <c r="L287" i="22" l="1"/>
  <c r="N550" i="22"/>
  <c r="N650" i="22"/>
  <c r="N649" i="22" s="1"/>
  <c r="N645" i="22" s="1"/>
  <c r="N318" i="22"/>
  <c r="N305" i="22"/>
  <c r="N304" i="22" s="1"/>
  <c r="N303" i="22" s="1"/>
  <c r="N301" i="22" s="1"/>
  <c r="Q310" i="22"/>
  <c r="R278" i="22"/>
  <c r="R269" i="22" s="1"/>
  <c r="R261" i="22" s="1"/>
  <c r="R260" i="22" s="1"/>
  <c r="R259" i="22" s="1"/>
  <c r="P287" i="22"/>
  <c r="P284" i="22"/>
  <c r="P282" i="22" s="1"/>
  <c r="Q287" i="22"/>
  <c r="Q284" i="22"/>
  <c r="Q282" i="22" s="1"/>
  <c r="W282" i="22"/>
  <c r="W281" i="22" s="1"/>
  <c r="W280" i="22" s="1"/>
  <c r="W283" i="22"/>
  <c r="Q209" i="22"/>
  <c r="Q206" i="22" s="1"/>
  <c r="Q205" i="22" s="1"/>
  <c r="Q207" i="22"/>
  <c r="J287" i="22"/>
  <c r="J284" i="22"/>
  <c r="J282" i="22" s="1"/>
  <c r="O287" i="22"/>
  <c r="O284" i="22"/>
  <c r="O282" i="22" s="1"/>
  <c r="M229" i="22"/>
  <c r="M196" i="22" s="1"/>
  <c r="N311" i="22"/>
  <c r="N310" i="22" s="1"/>
  <c r="R332" i="22"/>
  <c r="R331" i="22" s="1"/>
  <c r="R329" i="22" s="1"/>
  <c r="R327" i="22" s="1"/>
  <c r="R312" i="22"/>
  <c r="R311" i="22" s="1"/>
  <c r="V282" i="22"/>
  <c r="V281" i="22" s="1"/>
  <c r="V280" i="22" s="1"/>
  <c r="V283" i="22"/>
  <c r="R287" i="22"/>
  <c r="R284" i="22"/>
  <c r="R282" i="22" s="1"/>
  <c r="J209" i="22"/>
  <c r="J206" i="22" s="1"/>
  <c r="J205" i="22" s="1"/>
  <c r="J207" i="22"/>
  <c r="O207" i="22"/>
  <c r="O209" i="22"/>
  <c r="O206" i="22" s="1"/>
  <c r="O205" i="22" s="1"/>
  <c r="M180" i="22"/>
  <c r="M111" i="22"/>
  <c r="J89" i="22"/>
  <c r="J111" i="22"/>
  <c r="H461" i="23"/>
  <c r="H460" i="23" s="1"/>
  <c r="U461" i="23"/>
  <c r="U460" i="23" s="1"/>
  <c r="Q111" i="22"/>
  <c r="N111" i="22"/>
  <c r="L111" i="22"/>
  <c r="R111" i="22"/>
  <c r="P111" i="22"/>
  <c r="O111" i="22"/>
  <c r="O260" i="22"/>
  <c r="O259" i="22" s="1"/>
  <c r="O248" i="22" s="1"/>
  <c r="L89" i="22"/>
  <c r="M89" i="22"/>
  <c r="N89" i="22"/>
  <c r="N26" i="22" s="1"/>
  <c r="N17" i="22" s="1"/>
  <c r="N549" i="22"/>
  <c r="N542" i="22" s="1"/>
  <c r="N541" i="22" s="1"/>
  <c r="Q89" i="22"/>
  <c r="O89" i="22"/>
  <c r="I132" i="23"/>
  <c r="I131" i="23" s="1"/>
  <c r="I130" i="23" s="1"/>
  <c r="J259" i="22"/>
  <c r="J248" i="22" s="1"/>
  <c r="R89" i="22"/>
  <c r="P89" i="22"/>
  <c r="M541" i="22"/>
  <c r="L541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550" i="22"/>
  <c r="J551" i="22" s="1"/>
  <c r="P180" i="22"/>
  <c r="P259" i="22"/>
  <c r="P248" i="22" s="1"/>
  <c r="L229" i="22"/>
  <c r="L196" i="22" s="1"/>
  <c r="M27" i="22"/>
  <c r="J179" i="22"/>
  <c r="J180" i="22"/>
  <c r="Q179" i="22"/>
  <c r="R179" i="22"/>
  <c r="J19" i="23"/>
  <c r="V172" i="23"/>
  <c r="H165" i="23"/>
  <c r="N21" i="23"/>
  <c r="I19" i="23"/>
  <c r="L37" i="22"/>
  <c r="L36" i="22" s="1"/>
  <c r="L27" i="22" s="1"/>
  <c r="R310" i="22" l="1"/>
  <c r="R248" i="22"/>
  <c r="J197" i="22"/>
  <c r="O281" i="22"/>
  <c r="O280" i="22"/>
  <c r="O271" i="22" s="1"/>
  <c r="Q197" i="22"/>
  <c r="R281" i="22"/>
  <c r="R280" i="22"/>
  <c r="R271" i="22" s="1"/>
  <c r="J281" i="22"/>
  <c r="J280" i="22"/>
  <c r="J271" i="22" s="1"/>
  <c r="O197" i="22"/>
  <c r="N298" i="22"/>
  <c r="N296" i="22" s="1"/>
  <c r="N299" i="22"/>
  <c r="N300" i="22"/>
  <c r="P280" i="22"/>
  <c r="P271" i="22" s="1"/>
  <c r="P281" i="22"/>
  <c r="W278" i="22"/>
  <c r="W277" i="22" s="1"/>
  <c r="W269" i="22" s="1"/>
  <c r="W268" i="22" s="1"/>
  <c r="W266" i="22" s="1"/>
  <c r="W265" i="22" s="1"/>
  <c r="Q280" i="22"/>
  <c r="Q281" i="22"/>
  <c r="V278" i="22"/>
  <c r="V277" i="22" s="1"/>
  <c r="J26" i="22"/>
  <c r="J17" i="22" s="1"/>
  <c r="O26" i="22"/>
  <c r="O17" i="22" s="1"/>
  <c r="M26" i="22"/>
  <c r="M18" i="22" s="1"/>
  <c r="P26" i="22"/>
  <c r="P17" i="22" s="1"/>
  <c r="L26" i="22"/>
  <c r="L18" i="22" s="1"/>
  <c r="R26" i="22"/>
  <c r="R17" i="22" s="1"/>
  <c r="J542" i="22"/>
  <c r="J549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P229" i="22" l="1"/>
  <c r="P196" i="22" s="1"/>
  <c r="P195" i="22" s="1"/>
  <c r="J229" i="22"/>
  <c r="O229" i="22"/>
  <c r="O196" i="22" s="1"/>
  <c r="O195" i="22" s="1"/>
  <c r="J196" i="22"/>
  <c r="R229" i="22"/>
  <c r="R196" i="22" s="1"/>
  <c r="R195" i="22" s="1"/>
  <c r="N295" i="22"/>
  <c r="N294" i="22"/>
  <c r="N293" i="22" s="1"/>
  <c r="N288" i="22" s="1"/>
  <c r="N287" i="22" s="1"/>
  <c r="W263" i="22"/>
  <c r="W261" i="22"/>
  <c r="V269" i="22"/>
  <c r="V268" i="22" s="1"/>
  <c r="V266" i="22" s="1"/>
  <c r="V265" i="22" s="1"/>
  <c r="N278" i="22"/>
  <c r="N277" i="22" s="1"/>
  <c r="W271" i="22"/>
  <c r="Q271" i="22"/>
  <c r="Q278" i="22"/>
  <c r="Q269" i="22" s="1"/>
  <c r="Q261" i="22" s="1"/>
  <c r="Q260" i="22" s="1"/>
  <c r="J541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Q171" i="21"/>
  <c r="P171" i="21"/>
  <c r="O171" i="21"/>
  <c r="N171" i="21"/>
  <c r="N170" i="21" s="1"/>
  <c r="M171" i="21"/>
  <c r="M170" i="21" s="1"/>
  <c r="L171" i="21"/>
  <c r="L170" i="21" s="1"/>
  <c r="J171" i="21"/>
  <c r="J170" i="21" s="1"/>
  <c r="R170" i="21"/>
  <c r="Q170" i="21"/>
  <c r="P170" i="21"/>
  <c r="O170" i="2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R166" i="21" s="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R161" i="21"/>
  <c r="R160" i="21" s="1"/>
  <c r="Q161" i="21"/>
  <c r="Q160" i="21" s="1"/>
  <c r="P161" i="21"/>
  <c r="P160" i="21" s="1"/>
  <c r="O161" i="21"/>
  <c r="O160" i="21" s="1"/>
  <c r="N161" i="21"/>
  <c r="N160" i="21" s="1"/>
  <c r="J161" i="21"/>
  <c r="J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J146" i="21"/>
  <c r="J145" i="21" s="1"/>
  <c r="J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L126" i="21"/>
  <c r="L125" i="21" s="1"/>
  <c r="J126" i="21"/>
  <c r="J125" i="21" s="1"/>
  <c r="M125" i="2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P112" i="21"/>
  <c r="P106" i="21" s="1"/>
  <c r="O112" i="21"/>
  <c r="O106" i="21" s="1"/>
  <c r="N112" i="21"/>
  <c r="N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O99" i="21"/>
  <c r="O98" i="21" s="1"/>
  <c r="N99" i="21"/>
  <c r="N98" i="21" s="1"/>
  <c r="M99" i="21"/>
  <c r="L99" i="21"/>
  <c r="J99" i="21"/>
  <c r="J98" i="21" s="1"/>
  <c r="P98" i="21"/>
  <c r="M98" i="21"/>
  <c r="L98" i="2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M93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L72" i="21" s="1"/>
  <c r="J73" i="21"/>
  <c r="J72" i="21" s="1"/>
  <c r="R72" i="21"/>
  <c r="Q72" i="21"/>
  <c r="P72" i="21"/>
  <c r="O72" i="21"/>
  <c r="N72" i="2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U94" i="20"/>
  <c r="U93" i="20" s="1"/>
  <c r="U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P71" i="21" l="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5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M166" i="21"/>
  <c r="J117" i="21"/>
  <c r="O117" i="21"/>
  <c r="L166" i="21"/>
  <c r="Q166" i="21"/>
  <c r="N284" i="22"/>
  <c r="V263" i="22"/>
  <c r="V261" i="22"/>
  <c r="V271" i="22"/>
  <c r="Q259" i="22"/>
  <c r="N269" i="22"/>
  <c r="N268" i="22" s="1"/>
  <c r="N266" i="22" s="1"/>
  <c r="N265" i="22" s="1"/>
  <c r="W262" i="22"/>
  <c r="W259" i="22"/>
  <c r="W257" i="22" s="1"/>
  <c r="W256" i="22" s="1"/>
  <c r="W255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H252" i="18" s="1"/>
  <c r="N58" i="20"/>
  <c r="N57" i="20" s="1"/>
  <c r="N56" i="20" s="1"/>
  <c r="N55" i="20" s="1"/>
  <c r="U326" i="20"/>
  <c r="U325" i="20" s="1"/>
  <c r="U324" i="20" s="1"/>
  <c r="L85" i="21"/>
  <c r="L84" i="21" s="1"/>
  <c r="L83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P83" i="2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121" i="20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I54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U56" i="18"/>
  <c r="U55" i="18" s="1"/>
  <c r="I309" i="18"/>
  <c r="N317" i="18"/>
  <c r="N316" i="18" s="1"/>
  <c r="N309" i="18" s="1"/>
  <c r="N170" i="20"/>
  <c r="N166" i="20" s="1"/>
  <c r="N165" i="20" s="1"/>
  <c r="I298" i="18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I240" i="18" s="1"/>
  <c r="N253" i="18"/>
  <c r="N252" i="18" s="1"/>
  <c r="N247" i="18" s="1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H267" i="20" s="1"/>
  <c r="H262" i="20" s="1"/>
  <c r="U268" i="20"/>
  <c r="N268" i="20"/>
  <c r="J273" i="20"/>
  <c r="J267" i="20" s="1"/>
  <c r="J262" i="20" s="1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M105" i="21" s="1"/>
  <c r="O134" i="21"/>
  <c r="J152" i="21"/>
  <c r="N175" i="21"/>
  <c r="N174" i="21" s="1"/>
  <c r="J229" i="21"/>
  <c r="J228" i="21" s="1"/>
  <c r="Q229" i="2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J298" i="18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H166" i="20"/>
  <c r="H165" i="20" s="1"/>
  <c r="J313" i="20"/>
  <c r="J312" i="20" s="1"/>
  <c r="J311" i="20" s="1"/>
  <c r="J310" i="20" s="1"/>
  <c r="U323" i="20"/>
  <c r="U322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R83" i="2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O130" i="2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N266" i="21" s="1"/>
  <c r="R266" i="21"/>
  <c r="R290" i="21"/>
  <c r="R300" i="21"/>
  <c r="R299" i="21" s="1"/>
  <c r="R341" i="21"/>
  <c r="J392" i="21"/>
  <c r="J386" i="21" s="1"/>
  <c r="J387" i="21" s="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U345" i="20"/>
  <c r="I421" i="20"/>
  <c r="I420" i="20" s="1"/>
  <c r="I416" i="20" s="1"/>
  <c r="I415" i="20" s="1"/>
  <c r="I414" i="20" s="1"/>
  <c r="I400" i="20" s="1"/>
  <c r="I399" i="20" s="1"/>
  <c r="K421" i="20"/>
  <c r="N91" i="20"/>
  <c r="J120" i="20"/>
  <c r="I121" i="20"/>
  <c r="I120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H117" i="20" s="1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H255" i="20" s="1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O105" i="21" l="1"/>
  <c r="N21" i="18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Q105" i="21"/>
  <c r="I337" i="18"/>
  <c r="I336" i="18" s="1"/>
  <c r="I327" i="18" s="1"/>
  <c r="U400" i="20"/>
  <c r="U399" i="20" s="1"/>
  <c r="J54" i="18"/>
  <c r="N267" i="20"/>
  <c r="H21" i="18"/>
  <c r="H19" i="18" s="1"/>
  <c r="U252" i="18"/>
  <c r="N105" i="21"/>
  <c r="J105" i="21"/>
  <c r="I119" i="20"/>
  <c r="I118" i="20" s="1"/>
  <c r="I117" i="20" s="1"/>
  <c r="N173" i="21"/>
  <c r="U191" i="18"/>
  <c r="Q248" i="22"/>
  <c r="Q229" i="22"/>
  <c r="Q196" i="22" s="1"/>
  <c r="Q195" i="22" s="1"/>
  <c r="N283" i="22"/>
  <c r="N282" i="22"/>
  <c r="N281" i="22" s="1"/>
  <c r="N280" i="22" s="1"/>
  <c r="N261" i="22"/>
  <c r="N263" i="22"/>
  <c r="W253" i="22"/>
  <c r="W252" i="22" s="1"/>
  <c r="W251" i="22" s="1"/>
  <c r="W250" i="22"/>
  <c r="W246" i="22" s="1"/>
  <c r="V262" i="22"/>
  <c r="V259" i="22"/>
  <c r="V257" i="22" s="1"/>
  <c r="V256" i="22" s="1"/>
  <c r="V255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M20" i="21" s="1"/>
  <c r="M12" i="21" s="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O20" i="21" s="1"/>
  <c r="O11" i="21" s="1"/>
  <c r="P173" i="21"/>
  <c r="P20" i="21" s="1"/>
  <c r="P11" i="21" s="1"/>
  <c r="M190" i="21"/>
  <c r="Q215" i="21"/>
  <c r="Q190" i="21" s="1"/>
  <c r="Q189" i="21" s="1"/>
  <c r="R174" i="21"/>
  <c r="R173" i="21"/>
  <c r="R20" i="21" s="1"/>
  <c r="R11" i="21" s="1"/>
  <c r="J379" i="21"/>
  <c r="J378" i="21" s="1"/>
  <c r="Q20" i="21"/>
  <c r="Q11" i="21" s="1"/>
  <c r="L226" i="21"/>
  <c r="L215" i="21"/>
  <c r="L190" i="21" s="1"/>
  <c r="N215" i="21"/>
  <c r="N190" i="21" s="1"/>
  <c r="N189" i="21" s="1"/>
  <c r="J215" i="21"/>
  <c r="J190" i="21" s="1"/>
  <c r="J226" i="21"/>
  <c r="U21" i="20"/>
  <c r="H148" i="20"/>
  <c r="V154" i="20"/>
  <c r="N54" i="20"/>
  <c r="N21" i="20"/>
  <c r="J19" i="20"/>
  <c r="N262" i="20"/>
  <c r="U247" i="18"/>
  <c r="N19" i="18"/>
  <c r="I20" i="18"/>
  <c r="I19" i="18"/>
  <c r="H247" i="18"/>
  <c r="I191" i="18"/>
  <c r="N20" i="18" l="1"/>
  <c r="N18" i="18" s="1"/>
  <c r="N53" i="20"/>
  <c r="N271" i="22"/>
  <c r="N196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44" i="22"/>
  <c r="W245" i="22"/>
  <c r="N262" i="22"/>
  <c r="N257" i="22"/>
  <c r="N256" i="22" s="1"/>
  <c r="N255" i="22" s="1"/>
  <c r="V253" i="22"/>
  <c r="V252" i="22" s="1"/>
  <c r="V251" i="22" s="1"/>
  <c r="V250" i="22"/>
  <c r="V246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44" i="22" l="1"/>
  <c r="V245" i="22"/>
  <c r="N250" i="22"/>
  <c r="N246" i="22" s="1"/>
  <c r="N253" i="22"/>
  <c r="N252" i="22" s="1"/>
  <c r="N251" i="22" s="1"/>
  <c r="W242" i="22"/>
  <c r="W241" i="22"/>
  <c r="V102" i="15"/>
  <c r="W230" i="22" l="1"/>
  <c r="W240" i="22"/>
  <c r="N245" i="22"/>
  <c r="N244" i="22"/>
  <c r="W222" i="22"/>
  <c r="W248" i="22"/>
  <c r="V242" i="22"/>
  <c r="V241" i="22"/>
  <c r="J20" i="16"/>
  <c r="J19" i="16" s="1"/>
  <c r="J25" i="16" s="1"/>
  <c r="I20" i="16"/>
  <c r="I19" i="16" s="1"/>
  <c r="I25" i="16" s="1"/>
  <c r="H20" i="16"/>
  <c r="H19" i="16" s="1"/>
  <c r="H25" i="16" s="1"/>
  <c r="V230" i="22" l="1"/>
  <c r="V240" i="22"/>
  <c r="V222" i="22"/>
  <c r="V248" i="22"/>
  <c r="N242" i="22"/>
  <c r="N241" i="22"/>
  <c r="N240" i="22" s="1"/>
  <c r="W221" i="22"/>
  <c r="W220" i="22"/>
  <c r="W219" i="22" s="1"/>
  <c r="W218" i="22"/>
  <c r="W216" i="22" s="1"/>
  <c r="W209" i="22" s="1"/>
  <c r="N228" i="11"/>
  <c r="H292" i="17"/>
  <c r="R524" i="11"/>
  <c r="R525" i="11"/>
  <c r="R527" i="11"/>
  <c r="U185" i="17"/>
  <c r="U189" i="17"/>
  <c r="N185" i="17"/>
  <c r="H148" i="17"/>
  <c r="N222" i="22" l="1"/>
  <c r="N248" i="22"/>
  <c r="W207" i="22"/>
  <c r="W206" i="22" s="1"/>
  <c r="W205" i="22" s="1"/>
  <c r="W197" i="22" s="1"/>
  <c r="W208" i="22"/>
  <c r="V220" i="22"/>
  <c r="V219" i="22" s="1"/>
  <c r="V221" i="22"/>
  <c r="V218" i="22"/>
  <c r="V216" i="22" s="1"/>
  <c r="V209" i="22" s="1"/>
  <c r="K34" i="15"/>
  <c r="W196" i="22" l="1"/>
  <c r="W195" i="22" s="1"/>
  <c r="V208" i="22"/>
  <c r="V207" i="22"/>
  <c r="V206" i="22" s="1"/>
  <c r="V205" i="22" s="1"/>
  <c r="V197" i="22" s="1"/>
  <c r="V196" i="22" s="1"/>
  <c r="N218" i="22"/>
  <c r="N209" i="22" s="1"/>
  <c r="N221" i="22"/>
  <c r="N220" i="22"/>
  <c r="N219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H59" i="17" l="1"/>
  <c r="W799" i="22"/>
  <c r="W803" i="22" s="1"/>
  <c r="Z194" i="22"/>
  <c r="V195" i="22"/>
  <c r="I347" i="17"/>
  <c r="H342" i="17"/>
  <c r="U342" i="17"/>
  <c r="N245" i="17"/>
  <c r="N242" i="17" s="1"/>
  <c r="N241" i="17" s="1"/>
  <c r="N258" i="17"/>
  <c r="H290" i="17"/>
  <c r="H289" i="17" s="1"/>
  <c r="H288" i="17" s="1"/>
  <c r="H287" i="17" s="1"/>
  <c r="H286" i="17" s="1"/>
  <c r="N208" i="22"/>
  <c r="N207" i="22"/>
  <c r="N206" i="22" s="1"/>
  <c r="N205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5" i="22" l="1"/>
  <c r="I337" i="17"/>
  <c r="I336" i="17" s="1"/>
  <c r="I327" i="17" s="1"/>
  <c r="Y194" i="22"/>
  <c r="V799" i="22"/>
  <c r="V803" i="22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X194" i="22" l="1"/>
  <c r="N803" i="22"/>
  <c r="N799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192" i="12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H267" i="14"/>
  <c r="H266" i="14" s="1"/>
  <c r="H265" i="14" s="1"/>
  <c r="H264" i="14" s="1"/>
  <c r="H263" i="14" s="1"/>
  <c r="J266" i="14"/>
  <c r="J265" i="14" s="1"/>
  <c r="J264" i="14" s="1"/>
  <c r="J263" i="14" s="1"/>
  <c r="I266" i="14"/>
  <c r="I265" i="14" s="1"/>
  <c r="I264" i="14" s="1"/>
  <c r="I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N455" i="13"/>
  <c r="N454" i="13" s="1"/>
  <c r="J455" i="13"/>
  <c r="J454" i="13" s="1"/>
  <c r="O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O437" i="13" s="1"/>
  <c r="N438" i="13"/>
  <c r="J438" i="13"/>
  <c r="J437" i="13" s="1"/>
  <c r="P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O403" i="13" s="1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N373" i="13" s="1"/>
  <c r="J374" i="13"/>
  <c r="J373" i="13" s="1"/>
  <c r="P373" i="13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N350" i="13" s="1"/>
  <c r="J351" i="13"/>
  <c r="J350" i="13" s="1"/>
  <c r="P350" i="13"/>
  <c r="O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N271" i="13"/>
  <c r="N270" i="13" s="1"/>
  <c r="J271" i="13"/>
  <c r="J270" i="13" s="1"/>
  <c r="P270" i="13"/>
  <c r="O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O252" i="13"/>
  <c r="O251" i="13" s="1"/>
  <c r="O250" i="13" s="1"/>
  <c r="N252" i="13"/>
  <c r="N251" i="13" s="1"/>
  <c r="N250" i="13" s="1"/>
  <c r="J252" i="13"/>
  <c r="J251" i="13" s="1"/>
  <c r="J246" i="13" s="1"/>
  <c r="P251" i="13"/>
  <c r="P250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O196" i="13"/>
  <c r="N196" i="13"/>
  <c r="N195" i="13" s="1"/>
  <c r="N194" i="13" s="1"/>
  <c r="J196" i="13"/>
  <c r="J195" i="13" s="1"/>
  <c r="J194" i="13" s="1"/>
  <c r="P195" i="13"/>
  <c r="P194" i="13" s="1"/>
  <c r="O195" i="13"/>
  <c r="O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L91" i="13"/>
  <c r="L90" i="13" s="1"/>
  <c r="J91" i="13"/>
  <c r="J90" i="13" s="1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N85" i="13" l="1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M173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H122" i="14" l="1"/>
  <c r="H121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P20" i="13" l="1"/>
  <c r="P11" i="13" s="1"/>
  <c r="O20" i="13"/>
  <c r="O11" i="13" s="1"/>
  <c r="J215" i="13"/>
  <c r="J190" i="13" s="1"/>
  <c r="M20" i="13"/>
  <c r="M12" i="13" s="1"/>
  <c r="J328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P396" i="11" s="1"/>
  <c r="O398" i="11"/>
  <c r="N398" i="11"/>
  <c r="N396" i="11" s="1"/>
  <c r="J398" i="11"/>
  <c r="J396" i="11" s="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N385" i="11" s="1"/>
  <c r="J386" i="11"/>
  <c r="J385" i="11" s="1"/>
  <c r="P385" i="1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83" i="11" l="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O475" i="5"/>
  <c r="N475" i="5"/>
  <c r="P474" i="5"/>
  <c r="O474" i="5"/>
  <c r="N474" i="5"/>
  <c r="AC472" i="5"/>
  <c r="P472" i="5"/>
  <c r="O472" i="5"/>
  <c r="N472" i="5"/>
  <c r="J472" i="5"/>
  <c r="J471" i="5" s="1"/>
  <c r="P471" i="5"/>
  <c r="O471" i="5"/>
  <c r="N471" i="5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O463" i="5" s="1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O376" i="5"/>
  <c r="N376" i="5"/>
  <c r="N374" i="5" s="1"/>
  <c r="J376" i="5"/>
  <c r="J374" i="5" s="1"/>
  <c r="P374" i="5"/>
  <c r="O374" i="5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P226" i="1" s="1"/>
  <c r="P224" i="1" s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463" i="5" l="1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L93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I143" i="3" s="1"/>
  <c r="I142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J173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P174" i="1" l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5" l="1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<sst xmlns="http://schemas.openxmlformats.org/spreadsheetml/2006/main" count="32735" uniqueCount="1379">
  <si>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</si>
  <si>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</si>
  <si>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</si>
  <si>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</si>
  <si>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</si>
  <si>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</si>
  <si>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</si>
  <si>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</si>
  <si>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</si>
  <si>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</si>
  <si>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</si>
  <si>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</si>
  <si>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</si>
  <si>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</si>
  <si>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</si>
  <si>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</si>
  <si>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</si>
  <si>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</si>
  <si>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</si>
  <si>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</si>
  <si>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</si>
  <si>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</si>
  <si>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</si>
  <si>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</si>
  <si>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</si>
  <si>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</si>
  <si>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</si>
  <si>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</si>
  <si>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</si>
  <si>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</si>
  <si>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</si>
  <si>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</si>
  <si>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</si>
  <si>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</si>
  <si>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</si>
  <si>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</si>
  <si>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</si>
  <si>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</si>
  <si>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</si>
  <si>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</si>
  <si>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</si>
  <si>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</si>
  <si>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</si>
  <si>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</si>
  <si>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</si>
  <si>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</si>
  <si>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</si>
  <si>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</si>
  <si>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</si>
  <si>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</si>
  <si>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</si>
  <si>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</si>
  <si>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</si>
  <si>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</si>
  <si>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</si>
  <si>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</si>
  <si>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</si>
  <si>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</si>
  <si>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</si>
  <si>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</si>
  <si>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</si>
  <si>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</si>
  <si>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</si>
  <si>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</si>
  <si>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</si>
  <si>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</si>
  <si>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</si>
  <si>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</si>
  <si>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</si>
  <si>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</si>
  <si>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</si>
  <si>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</si>
  <si>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</si>
  <si>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</si>
  <si>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</si>
  <si>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</si>
  <si>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</si>
  <si>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</si>
  <si>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</si>
  <si>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</si>
  <si>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</si>
  <si>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</si>
  <si>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</si>
  <si>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</si>
  <si>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</si>
  <si>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</si>
  <si>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</si>
  <si>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</si>
  <si>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</si>
  <si>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</si>
  <si>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</si>
  <si>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</si>
  <si>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</si>
  <si>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</si>
  <si>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</si>
  <si>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</si>
  <si>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</si>
  <si>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</si>
  <si>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</si>
  <si>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</si>
  <si>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</si>
  <si>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</si>
  <si>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</si>
  <si>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</si>
  <si>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</si>
  <si>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</si>
  <si>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</si>
  <si>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</si>
  <si>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</si>
  <si>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</si>
  <si>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</si>
  <si>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</si>
  <si>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</si>
  <si>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</si>
  <si>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</si>
  <si>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</si>
  <si>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</si>
  <si>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</si>
  <si>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</si>
  <si>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</si>
  <si>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</si>
  <si>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</si>
  <si>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</si>
  <si>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</si>
  <si>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</si>
  <si>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</si>
  <si>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</si>
  <si>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</si>
  <si>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</si>
  <si>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</si>
  <si>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</si>
  <si>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</si>
  <si>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</si>
  <si>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</si>
  <si>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</si>
  <si>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</si>
  <si>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</si>
  <si>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</si>
  <si>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</si>
  <si>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</si>
  <si>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</si>
  <si>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</si>
  <si>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</si>
  <si>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</si>
  <si>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</si>
  <si>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</si>
  <si>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</si>
  <si>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</si>
  <si>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</si>
  <si>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</si>
  <si>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</si>
  <si>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</si>
  <si>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</si>
  <si>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</si>
  <si>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</si>
  <si>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</si>
  <si>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</si>
  <si>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</si>
  <si>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</si>
  <si>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</si>
  <si>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</si>
  <si>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</si>
  <si>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</si>
  <si>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</si>
  <si>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</si>
  <si>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</si>
  <si>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</si>
  <si>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</si>
  <si>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</si>
  <si>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</si>
  <si>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</si>
  <si>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</si>
  <si>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</si>
  <si>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</si>
  <si>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</si>
  <si>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</si>
  <si>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</si>
  <si>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</si>
  <si>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</si>
  <si>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</si>
  <si>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</si>
  <si>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</si>
  <si>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</si>
  <si>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</si>
  <si>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</si>
  <si>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</si>
  <si>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</si>
  <si>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</si>
  <si>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</si>
  <si>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</si>
  <si>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</si>
  <si>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</si>
  <si>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</si>
  <si>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</si>
  <si>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</si>
  <si>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</si>
  <si>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</si>
  <si>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</si>
  <si>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</si>
  <si>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</si>
  <si>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</si>
  <si>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</si>
  <si>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</si>
  <si>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</si>
  <si>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</si>
  <si>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</si>
  <si>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</si>
  <si>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</si>
  <si>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</si>
  <si>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</si>
  <si>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</si>
  <si>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</si>
  <si>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</si>
  <si>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</si>
  <si>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</si>
  <si>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</si>
  <si>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</si>
  <si>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</si>
  <si>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</si>
  <si>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</si>
  <si>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</si>
  <si>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</si>
  <si>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</si>
  <si>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</si>
  <si>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</si>
  <si>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</si>
  <si>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</si>
  <si>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</si>
  <si>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</si>
  <si>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</si>
  <si>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</si>
  <si>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</si>
  <si>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</si>
  <si>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</si>
  <si>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</si>
  <si>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</si>
  <si>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</si>
  <si>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</si>
  <si>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</si>
  <si>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</si>
  <si>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</si>
  <si>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</si>
  <si>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</si>
  <si>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</si>
  <si>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</si>
  <si>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</si>
  <si>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</si>
  <si>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</si>
  <si>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</si>
  <si>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</si>
  <si>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</si>
  <si>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</si>
  <si>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</si>
  <si>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</si>
  <si>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</si>
  <si>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</si>
  <si>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</si>
  <si>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</si>
  <si>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</si>
  <si>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</si>
  <si>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</si>
  <si>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</si>
  <si>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</si>
  <si>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</si>
  <si>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</si>
  <si>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</si>
  <si>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</si>
  <si>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</si>
  <si>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</si>
  <si>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</si>
  <si>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</si>
  <si>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</si>
  <si>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</si>
  <si>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</si>
  <si>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</si>
  <si>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</si>
  <si>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</si>
  <si>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</si>
  <si>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</si>
  <si>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</si>
  <si>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</si>
  <si>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</si>
  <si>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</si>
  <si>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</si>
  <si>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</si>
  <si>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</si>
  <si>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</si>
  <si>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</si>
  <si>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</si>
  <si>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</si>
  <si>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</si>
  <si>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</si>
  <si>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</si>
  <si>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</si>
  <si>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</si>
  <si>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</si>
  <si>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</si>
  <si>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</si>
  <si>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</si>
  <si>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</si>
  <si>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</si>
  <si>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</si>
  <si>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</si>
  <si>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</si>
  <si>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</si>
  <si>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</si>
  <si>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</si>
  <si>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</si>
  <si>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</si>
  <si>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</si>
  <si>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</si>
  <si>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</si>
  <si>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</si>
  <si>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</si>
  <si>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</si>
  <si>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</si>
  <si>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</si>
  <si>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</si>
  <si>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</si>
  <si>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</si>
  <si>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</si>
  <si>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</si>
  <si>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</si>
  <si>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</si>
  <si>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</si>
  <si>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</si>
  <si>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</si>
  <si>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</si>
  <si>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</si>
  <si>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</si>
  <si>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</si>
  <si>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</si>
  <si>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</si>
  <si>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</si>
  <si>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</si>
  <si>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</si>
  <si>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</si>
  <si>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</si>
  <si>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</si>
  <si>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</si>
  <si>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</si>
  <si>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</si>
  <si>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</si>
  <si>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</si>
  <si>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</si>
  <si>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</si>
  <si>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</si>
  <si>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</si>
  <si>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</si>
  <si>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</si>
  <si>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</si>
  <si>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</si>
  <si>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</si>
  <si>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</si>
  <si>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</si>
  <si>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</si>
  <si>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</si>
  <si>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</si>
  <si>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</si>
  <si>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</si>
  <si>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</si>
  <si>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</si>
  <si>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</si>
  <si>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</si>
  <si>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</si>
  <si>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</si>
  <si>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</si>
  <si>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</si>
  <si>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</si>
  <si>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</si>
  <si>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</si>
  <si>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</si>
  <si>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</si>
  <si>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</si>
  <si>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</si>
  <si>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</si>
  <si>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</si>
  <si>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</si>
  <si>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</si>
  <si>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</si>
  <si>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</si>
  <si>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</si>
  <si>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</si>
  <si>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</si>
  <si>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</si>
  <si>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</si>
  <si>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</si>
  <si>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</si>
  <si>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</si>
  <si>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</si>
  <si>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</si>
  <si>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</si>
  <si>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</si>
  <si>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</si>
  <si>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</si>
  <si>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</si>
  <si>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</si>
  <si>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</si>
  <si>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</si>
  <si>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</si>
  <si>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</si>
  <si>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</si>
  <si>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</si>
  <si>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</si>
  <si>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</si>
  <si>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</si>
  <si>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</si>
  <si>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</si>
  <si>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</si>
  <si>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</si>
  <si>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</si>
  <si>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</si>
  <si>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</si>
  <si>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</si>
  <si>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</si>
  <si>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</si>
  <si>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</si>
  <si>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</si>
  <si>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</si>
  <si>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</si>
  <si>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</si>
  <si>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</si>
  <si>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</si>
  <si>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</si>
  <si>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</si>
  <si>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</si>
  <si>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</si>
  <si>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</si>
  <si>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</si>
  <si>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</si>
  <si>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</si>
  <si>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</si>
  <si>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</si>
  <si>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</si>
  <si>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</si>
  <si>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</si>
  <si>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</si>
  <si>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</si>
  <si>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</si>
  <si>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</si>
  <si>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</si>
  <si>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</si>
  <si>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</si>
  <si>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</si>
  <si>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</si>
  <si>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</si>
  <si>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</si>
  <si>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</si>
  <si>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</si>
  <si>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</si>
  <si>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</si>
  <si>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</si>
  <si>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</si>
  <si>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</si>
  <si>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</si>
  <si>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</si>
  <si>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</si>
  <si>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</si>
  <si>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</si>
  <si>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</si>
  <si>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</si>
  <si>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</si>
  <si>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</si>
  <si>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</si>
  <si>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</si>
  <si>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</si>
  <si>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</si>
  <si>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</si>
  <si>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</si>
  <si>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</si>
  <si>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</si>
  <si>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</si>
  <si>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</si>
  <si>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</si>
  <si>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</si>
  <si>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</si>
  <si>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</si>
  <si>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</si>
  <si>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</si>
  <si>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</si>
  <si>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</si>
  <si>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</si>
  <si>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</si>
  <si>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</si>
  <si>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</si>
  <si>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</si>
  <si>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</si>
  <si>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</si>
  <si>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</si>
  <si>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</si>
  <si>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</si>
  <si>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</si>
  <si>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</si>
  <si>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</si>
  <si>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</si>
  <si>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</si>
  <si>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</si>
  <si>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</si>
  <si>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</si>
  <si>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</si>
  <si>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</si>
  <si>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</si>
  <si>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</si>
  <si>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</si>
  <si>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</si>
  <si>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</si>
  <si>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</si>
  <si>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</si>
  <si>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</si>
  <si>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</si>
  <si>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</si>
  <si>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</si>
  <si>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</si>
  <si>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</si>
  <si>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</si>
  <si>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</si>
  <si>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</si>
  <si>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</si>
  <si>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</si>
  <si>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</si>
  <si>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</si>
  <si>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</si>
  <si>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</si>
  <si>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</si>
  <si>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</si>
  <si>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</si>
  <si>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</si>
  <si>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</si>
  <si>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</si>
  <si>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</si>
  <si>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</si>
  <si>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</si>
  <si>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</si>
  <si>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</si>
  <si>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</si>
  <si>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</si>
  <si>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</si>
  <si>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</si>
  <si>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</si>
  <si>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</si>
  <si>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</si>
  <si>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</si>
  <si>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</si>
  <si>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</si>
  <si>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</si>
  <si>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</si>
  <si>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</si>
  <si>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</si>
  <si>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</si>
  <si>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</si>
  <si>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</si>
  <si>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</si>
  <si>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</si>
  <si>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</si>
  <si>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</si>
  <si>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</si>
  <si>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</si>
  <si>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</si>
  <si>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</si>
  <si>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</si>
  <si>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</si>
  <si>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</si>
  <si>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</si>
  <si>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</si>
  <si>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</si>
  <si>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</si>
  <si>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</si>
  <si>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</si>
  <si>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</si>
  <si>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</si>
  <si>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</si>
  <si>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</si>
  <si>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</si>
  <si>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</si>
  <si>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</si>
  <si>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</si>
  <si>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</si>
  <si>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</si>
  <si>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</si>
  <si>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</si>
  <si>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</si>
  <si>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</si>
  <si>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</si>
  <si>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</si>
  <si>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</si>
  <si>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</si>
  <si>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</si>
  <si>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</si>
  <si>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</si>
  <si>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</si>
  <si>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</si>
  <si>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</si>
  <si>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</si>
  <si>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</si>
  <si>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</si>
  <si>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</si>
  <si>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</si>
  <si>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</si>
  <si>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</si>
  <si>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</si>
  <si>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</si>
  <si>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</si>
  <si>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</si>
  <si>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</si>
  <si>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</si>
  <si>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</si>
  <si>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</si>
  <si>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</si>
  <si>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</si>
  <si>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</si>
  <si>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</si>
  <si>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</si>
  <si>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</si>
  <si>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</si>
  <si>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</si>
  <si>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</si>
  <si>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</si>
  <si>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</si>
  <si>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</si>
  <si>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</si>
  <si>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</si>
  <si>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</si>
  <si>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</si>
  <si>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</si>
  <si>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</si>
  <si>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</si>
  <si>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</si>
  <si>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</si>
  <si>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</si>
  <si>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</si>
  <si>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</si>
  <si>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</si>
  <si>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</si>
  <si>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</si>
  <si>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</si>
  <si>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</si>
  <si>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</si>
  <si>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</si>
  <si>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</si>
  <si>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</si>
  <si>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</si>
  <si>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</si>
  <si>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</si>
  <si>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</si>
  <si>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</si>
  <si>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</si>
  <si>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</si>
  <si>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</si>
  <si>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</si>
  <si>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</si>
  <si>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</si>
  <si>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</si>
  <si>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</si>
  <si>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</si>
  <si>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</si>
  <si>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</si>
  <si>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</si>
  <si>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</si>
  <si>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</si>
  <si>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</si>
  <si>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</si>
  <si>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</si>
  <si>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</si>
  <si>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</si>
  <si>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</si>
  <si>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</si>
  <si>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</si>
  <si>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</si>
  <si>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</si>
  <si>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</si>
  <si>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</si>
  <si>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</si>
  <si>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</si>
  <si>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</si>
  <si>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</si>
  <si>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</si>
  <si>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</si>
  <si>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</si>
  <si>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</si>
  <si>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</si>
  <si>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</si>
  <si>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</si>
  <si>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</si>
  <si>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</si>
  <si>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</si>
  <si>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</si>
  <si>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</si>
  <si>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</si>
  <si>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</si>
  <si>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</si>
  <si>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</si>
  <si>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</si>
  <si>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</si>
  <si>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</si>
  <si>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</si>
  <si>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</si>
  <si>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</si>
  <si>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</si>
  <si>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</si>
  <si>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</si>
  <si>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</si>
  <si>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</si>
  <si>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</si>
  <si>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</si>
  <si>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</si>
  <si>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</si>
  <si>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</si>
  <si>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</si>
  <si>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</si>
  <si>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</si>
  <si>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</si>
  <si>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</si>
  <si>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</si>
  <si>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</si>
  <si>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</si>
  <si>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</si>
  <si>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</si>
  <si>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</si>
  <si>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</si>
  <si>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</si>
  <si>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</si>
  <si>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</si>
  <si>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</si>
  <si>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</si>
  <si>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</si>
  <si>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</si>
  <si>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</si>
  <si>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</si>
  <si>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</si>
  <si>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</si>
  <si>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</si>
  <si>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</si>
  <si>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</si>
  <si>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</si>
  <si>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</si>
  <si>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</si>
  <si>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</si>
  <si>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</si>
  <si>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</si>
  <si>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</si>
  <si>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</si>
  <si>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</si>
  <si>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</si>
  <si>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</si>
  <si>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</si>
  <si>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</si>
  <si>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</si>
  <si>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</si>
  <si>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</si>
  <si>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</si>
  <si>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</si>
  <si>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</si>
  <si>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</si>
  <si>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</si>
  <si>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</si>
  <si>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</si>
  <si>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</si>
  <si>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</si>
  <si>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</si>
  <si>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</si>
  <si>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</si>
  <si>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</si>
  <si>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</si>
  <si>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</si>
  <si>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</si>
  <si>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</si>
  <si>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</si>
  <si>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</si>
  <si>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</si>
  <si>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</si>
  <si>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</si>
  <si>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</si>
  <si>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</si>
  <si>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</si>
  <si>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</si>
  <si>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</si>
  <si>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</si>
  <si>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</si>
  <si>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</si>
  <si>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</si>
  <si>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</si>
  <si>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</si>
  <si>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</si>
  <si>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</si>
  <si>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</si>
  <si>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</si>
  <si>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</si>
  <si>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</si>
  <si>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</si>
  <si>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</si>
  <si>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</si>
  <si>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</si>
  <si>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</si>
  <si>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</si>
  <si>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</si>
  <si>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</si>
  <si>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</si>
  <si>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</si>
  <si>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</si>
  <si>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</si>
  <si>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</si>
  <si>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</si>
  <si>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</si>
  <si>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</si>
  <si>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</si>
  <si>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</si>
  <si>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</si>
  <si>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</si>
  <si>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</si>
  <si>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</si>
  <si>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</si>
  <si>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</si>
  <si>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</si>
  <si>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</si>
  <si>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</si>
  <si>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</si>
  <si>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</si>
  <si>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</si>
  <si>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</si>
  <si>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</si>
  <si>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</si>
  <si>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</si>
  <si>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</si>
  <si>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</si>
  <si>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</si>
  <si>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</si>
  <si>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</si>
  <si>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</si>
  <si>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</si>
  <si>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</si>
  <si>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</si>
  <si>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</si>
  <si>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</si>
  <si>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</si>
  <si>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</si>
  <si>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</si>
  <si>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</si>
  <si>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</si>
  <si>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</si>
  <si>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</si>
  <si>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</si>
  <si>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</si>
  <si>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</si>
  <si>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</si>
  <si>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</si>
  <si>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</si>
  <si>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</si>
  <si>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</si>
  <si>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</si>
  <si>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</si>
  <si>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</si>
  <si>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</si>
  <si>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</si>
  <si>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</si>
  <si>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</si>
  <si>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</si>
  <si>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</si>
  <si>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</si>
  <si>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</si>
  <si>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</si>
  <si>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</si>
  <si>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</si>
  <si>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</si>
  <si>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</si>
  <si>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</si>
  <si>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</si>
  <si>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</si>
  <si>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</si>
  <si>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</si>
  <si>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</si>
  <si>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</si>
  <si>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</si>
  <si>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</si>
  <si>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</si>
  <si>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</si>
  <si>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</si>
  <si>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</si>
  <si>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</si>
  <si>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</si>
  <si>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</si>
  <si>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</si>
  <si>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</si>
  <si>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</si>
  <si>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</si>
  <si>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</si>
  <si>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</si>
  <si>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</si>
  <si>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</si>
  <si>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</si>
  <si>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</si>
  <si>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</si>
  <si>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</si>
  <si>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</si>
  <si>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</si>
  <si>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</si>
  <si>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</si>
  <si>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</si>
  <si>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</si>
  <si>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</si>
  <si>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</si>
  <si>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</si>
  <si>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</si>
  <si>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</si>
  <si>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</si>
  <si>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</si>
  <si>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</si>
  <si>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</si>
  <si>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</si>
  <si>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</si>
  <si>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</si>
  <si>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</si>
  <si>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</si>
  <si>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</si>
  <si>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</si>
  <si>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</si>
  <si>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</si>
  <si>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</si>
  <si>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</si>
  <si>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</si>
  <si>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</si>
  <si>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</si>
  <si>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</si>
  <si>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</si>
  <si>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</si>
  <si>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</si>
  <si>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</si>
  <si>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</si>
  <si>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</si>
  <si>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</si>
  <si>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</si>
  <si>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</si>
  <si>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</si>
  <si>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</si>
  <si>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</si>
  <si>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</si>
  <si>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</si>
  <si>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</si>
  <si>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</si>
  <si>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</si>
  <si>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</si>
  <si>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</si>
  <si>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</si>
  <si>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</si>
  <si>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</si>
  <si>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</si>
  <si>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</si>
  <si>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</si>
  <si>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</si>
  <si>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</si>
  <si>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</si>
  <si>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</si>
  <si>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</si>
  <si>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</si>
  <si>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</si>
  <si>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</si>
  <si>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</si>
  <si>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</si>
  <si>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</si>
  <si>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</si>
  <si>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</si>
  <si>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</si>
  <si>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</si>
  <si>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</si>
  <si>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</si>
  <si>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</si>
  <si>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</si>
  <si>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</si>
  <si>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</si>
  <si>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</si>
  <si>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</si>
  <si>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</si>
  <si>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</si>
  <si>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</si>
  <si>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</si>
  <si>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</si>
  <si>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</si>
  <si>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</si>
  <si>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</si>
  <si>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</si>
  <si>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</si>
  <si>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</si>
  <si>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</si>
  <si>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</si>
  <si>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</si>
  <si>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</si>
  <si>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</si>
  <si>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</si>
  <si>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</si>
  <si>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</si>
  <si>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</si>
  <si>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</si>
  <si>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</si>
  <si>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</si>
  <si>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</si>
  <si>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</si>
  <si>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</si>
  <si>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</si>
  <si>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</si>
  <si>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</si>
  <si>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</si>
  <si>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</si>
  <si>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</si>
  <si>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</si>
  <si>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</si>
  <si>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</si>
  <si>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</si>
  <si>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</si>
  <si>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</si>
  <si>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</si>
  <si>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</si>
  <si>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</si>
  <si>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</si>
  <si>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</si>
  <si>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</si>
  <si>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</si>
  <si>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</si>
  <si>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</si>
  <si>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</si>
  <si>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</si>
  <si>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</si>
  <si>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</si>
  <si>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</si>
  <si>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</si>
  <si>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</si>
  <si>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</si>
  <si>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</si>
  <si>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</si>
  <si>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</si>
  <si>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</si>
  <si>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</si>
  <si>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</si>
  <si>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</si>
  <si>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</si>
  <si>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</si>
  <si>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</si>
  <si>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</si>
  <si>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</si>
  <si>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</si>
  <si>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</si>
  <si>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</si>
  <si>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</si>
  <si>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</si>
  <si>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</si>
  <si>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</si>
  <si>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</si>
  <si>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</si>
  <si>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</si>
  <si>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</si>
  <si>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</si>
  <si>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</si>
  <si>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</si>
  <si>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</si>
  <si>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</si>
  <si>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</si>
  <si>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</si>
  <si>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</si>
  <si>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</si>
  <si>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</si>
  <si>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</si>
  <si>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</si>
  <si>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</si>
  <si>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</si>
  <si>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</si>
  <si>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</si>
  <si>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</si>
  <si>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</si>
  <si>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</si>
  <si>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</si>
  <si>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</si>
  <si>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</si>
  <si>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</si>
  <si>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</si>
  <si>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</si>
  <si>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</si>
  <si>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</si>
  <si>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</si>
  <si>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</si>
  <si>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</si>
  <si>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</si>
  <si>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</si>
  <si>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</si>
  <si>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</si>
  <si>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</si>
  <si>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</si>
  <si>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</si>
  <si>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</si>
  <si>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</si>
  <si>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</si>
  <si>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</si>
  <si>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</si>
  <si>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</si>
  <si>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</si>
  <si>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</si>
  <si>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</si>
  <si>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</si>
  <si>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</si>
  <si>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</si>
  <si>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</si>
  <si>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</si>
  <si>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</si>
  <si>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</si>
  <si>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</si>
  <si>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</si>
  <si>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</si>
  <si>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</si>
  <si>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</si>
  <si>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</si>
  <si>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</si>
  <si>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</si>
  <si>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</si>
  <si>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</si>
  <si>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</si>
  <si>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</si>
  <si>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</si>
  <si>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</si>
  <si>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2 02 25555 10 0000 150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</si>
  <si>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</si>
  <si>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</si>
  <si>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</si>
  <si>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</si>
  <si>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</si>
  <si>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</si>
  <si>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</si>
  <si>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Субсидии бюджетам сельских поселений на реализацию программ формирования современной городской среды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</si>
  <si>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</si>
  <si>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</si>
  <si>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</si>
  <si>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</si>
  <si>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</si>
  <si>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</si>
  <si>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</si>
  <si>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</si>
  <si>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</si>
  <si>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</si>
  <si>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</si>
  <si>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</si>
  <si>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</si>
  <si>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</si>
  <si>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</si>
  <si>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</si>
  <si>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</si>
  <si>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</si>
  <si>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</si>
  <si>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</si>
  <si>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</si>
  <si>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</si>
  <si>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</si>
  <si>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</si>
  <si>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</si>
  <si>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</si>
  <si>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</si>
  <si>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</si>
  <si>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</si>
  <si>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</si>
  <si>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</si>
  <si>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</si>
  <si>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</si>
  <si>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</si>
  <si>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</si>
  <si>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</si>
  <si>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</si>
  <si>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</si>
  <si>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</si>
  <si>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</si>
  <si>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</si>
  <si>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</si>
  <si>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</si>
  <si>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</si>
  <si>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</si>
  <si>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</si>
  <si>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</si>
  <si>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</si>
  <si>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</si>
  <si>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</si>
  <si>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</si>
  <si>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</si>
  <si>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</si>
  <si>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</si>
  <si>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</si>
  <si>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</si>
  <si>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</si>
  <si>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</si>
  <si>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</si>
  <si>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</si>
  <si>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</si>
  <si>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</si>
  <si>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</si>
  <si>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</si>
  <si>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</si>
  <si>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</si>
  <si>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</si>
  <si>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</si>
  <si>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</si>
  <si>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</si>
  <si>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</si>
  <si>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</si>
  <si>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</si>
  <si>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</si>
  <si>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</si>
  <si>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>2023 г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</si>
  <si>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</si>
  <si>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</si>
  <si>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</si>
  <si>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</si>
  <si>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</si>
  <si>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</si>
  <si>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</si>
  <si>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</si>
  <si>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</si>
  <si>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</si>
  <si>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</si>
  <si>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</si>
  <si>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</si>
  <si>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</si>
  <si>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</si>
  <si>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</si>
  <si>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</si>
  <si>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</si>
  <si>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 xml:space="preserve">               на  2022  год и на плановый период 2023 и 2024 годов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</si>
  <si>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</si>
  <si>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</si>
  <si>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</si>
  <si>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</si>
  <si>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</si>
  <si>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классификации расходов бюджетов  на 2022 год и на плановый период 2023 и 2024 годов</t>
  </si>
  <si>
    <t>2024 год</t>
  </si>
  <si>
    <t>на 2022 год и на плановый период 2023 и 2024 годов</t>
  </si>
  <si>
    <t>Сумма на 2024 год</t>
  </si>
  <si>
    <t>Сумма  на 2024 год</t>
  </si>
  <si>
    <t xml:space="preserve">на 2022 год </t>
  </si>
  <si>
    <t>дб</t>
  </si>
  <si>
    <t>Условно утвержденные расходы</t>
  </si>
  <si>
    <t>2023-2025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</si>
  <si>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2022 год и на плановый период 2023 и 2024 годов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</si>
  <si>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</si>
  <si>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</si>
  <si>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</si>
  <si>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</si>
  <si>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>Приложение 5</t>
  </si>
  <si>
    <t>Приложение № 6</t>
  </si>
  <si>
    <t xml:space="preserve">  на 2022 год и на плановый период 2023 и 2024 годов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</si>
  <si>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</si>
  <si>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</si>
  <si>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</si>
  <si>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</si>
  <si>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комплекса мероприятий по борьбе с борщевиком Сосновского на территории муниципальных образований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</si>
  <si>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</si>
  <si>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</si>
  <si>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</si>
  <si>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</si>
  <si>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</si>
  <si>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</si>
  <si>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</si>
  <si>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</si>
  <si>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</si>
  <si>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</si>
  <si>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</si>
  <si>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</si>
  <si>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 xml:space="preserve">    от  "22" декабря  2021 года № 247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</si>
  <si>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</si>
  <si>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</si>
  <si>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</si>
  <si>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</si>
  <si>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</si>
  <si>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</si>
  <si>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</si>
  <si>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</si>
  <si>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</si>
  <si>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</si>
  <si>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</si>
  <si>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</si>
  <si>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</si>
  <si>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</si>
  <si>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</si>
  <si>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</si>
  <si>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</si>
  <si>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</si>
  <si>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</si>
  <si>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</si>
  <si>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</si>
  <si>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</si>
  <si>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</si>
  <si>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</si>
  <si>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</si>
  <si>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</si>
  <si>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</si>
  <si>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</si>
  <si>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</si>
  <si>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</si>
  <si>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</si>
  <si>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</si>
  <si>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</si>
  <si>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</si>
  <si>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</si>
  <si>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</si>
  <si>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</si>
  <si>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</si>
  <si>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</si>
  <si>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</si>
  <si>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</si>
  <si>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</si>
  <si>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</si>
  <si>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</si>
  <si>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</si>
  <si>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</si>
  <si>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</si>
  <si>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</si>
  <si>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</si>
  <si>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</si>
  <si>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</si>
  <si>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</si>
  <si>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</si>
  <si>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</si>
  <si>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</si>
  <si>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</si>
  <si>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</si>
  <si>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</si>
  <si>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</si>
  <si>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</si>
  <si>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</si>
  <si>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</si>
  <si>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</si>
  <si>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</si>
  <si>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</si>
  <si>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</si>
  <si>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</si>
  <si>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</si>
  <si>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</si>
  <si>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</si>
  <si>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</si>
  <si>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</si>
  <si>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</si>
  <si>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</si>
  <si>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</si>
  <si>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</si>
  <si>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</si>
  <si>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</si>
  <si>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</si>
  <si>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</si>
  <si>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</si>
  <si>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</si>
  <si>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</si>
  <si>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</si>
  <si>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</si>
  <si>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</si>
  <si>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</si>
  <si>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</si>
  <si>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</si>
  <si>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</si>
  <si>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</si>
  <si>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08 4 04 11520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</si>
  <si>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</si>
  <si>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</si>
  <si>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</si>
  <si>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</si>
  <si>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</si>
  <si>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</si>
  <si>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</si>
  <si>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</si>
  <si>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</si>
  <si>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</si>
  <si>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</si>
  <si>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</si>
  <si>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</si>
  <si>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</si>
  <si>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</si>
  <si>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</si>
  <si>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</si>
  <si>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</si>
  <si>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</si>
  <si>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</si>
  <si>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Прочие  субсидии на оснащение мест (площадок) накопления твердых коммунальных отходов емкостями для накопления</t>
  </si>
  <si>
    <t>19 8 02 00000</t>
  </si>
  <si>
    <t>19 8 02 S4960</t>
  </si>
  <si>
    <t>08 2 1343</t>
  </si>
  <si>
    <t>весь 410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</si>
  <si>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</si>
  <si>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</si>
  <si>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    от  " 10 " февраля  2022 года № 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</si>
</sst>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  <numFmt numFmtId="183" formatCode="#,##0.00000_ ;[Red]\-#,##0.00000\ "/>
    <numFmt numFmtId="184" formatCode="0.00000"/>
    <numFmt numFmtId="185" formatCode="_(* #,##0.00000_);_(* \(#,##0.00000\);_(* &quot;-&quot;??_);_(@_)"/>
  </numFmts>
  <fonts count="11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i/>
      <sz val="10"/>
      <color theme="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0" fontId="51" fillId="0" borderId="0" applyFont="0" applyFill="0" applyBorder="0" applyAlignment="0" applyProtection="0"/>
    <xf numFmtId="0" fontId="51" fillId="0" borderId="0"/>
    <xf numFmtId="0" fontId="8" fillId="0" borderId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666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6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6" fontId="10" fillId="0" borderId="1" xfId="1" applyNumberFormat="1" applyFont="1" applyFill="1" applyBorder="1" applyAlignment="1">
      <alignment horizontal="right" vertical="center" wrapText="1"/>
    </xf>
    <xf numFmtId="166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6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6" fontId="12" fillId="0" borderId="2" xfId="1" applyNumberFormat="1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right"/>
    </xf>
    <xf numFmtId="166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/>
    <xf numFmtId="168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6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 applyAlignment="1">
      <alignment vertical="center" wrapText="1"/>
    </xf>
    <xf numFmtId="168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5" fillId="0" borderId="9" xfId="3" applyNumberFormat="1" applyFont="1" applyFill="1" applyBorder="1" applyAlignment="1">
      <alignment vertical="center" wrapText="1"/>
    </xf>
    <xf numFmtId="168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8" fontId="8" fillId="0" borderId="7" xfId="3" applyNumberFormat="1" applyFont="1" applyFill="1" applyBorder="1"/>
    <xf numFmtId="168" fontId="8" fillId="0" borderId="1" xfId="3" applyNumberFormat="1" applyFont="1" applyFill="1" applyBorder="1"/>
    <xf numFmtId="168" fontId="10" fillId="0" borderId="10" xfId="3" applyNumberFormat="1" applyFont="1" applyFill="1" applyBorder="1" applyAlignment="1">
      <alignment vertical="center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7" fontId="10" fillId="0" borderId="1" xfId="1" applyNumberFormat="1" applyFont="1" applyFill="1" applyBorder="1" applyAlignment="1">
      <alignment vertical="center" wrapText="1"/>
    </xf>
    <xf numFmtId="166" fontId="10" fillId="0" borderId="18" xfId="1" applyNumberFormat="1" applyFont="1" applyFill="1" applyBorder="1" applyAlignment="1">
      <alignment horizontal="right" vertical="center" wrapText="1"/>
    </xf>
    <xf numFmtId="166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0" fillId="0" borderId="15" xfId="1" applyNumberFormat="1" applyFont="1" applyFill="1" applyBorder="1" applyAlignment="1">
      <alignment horizontal="right" vertical="center" wrapText="1"/>
    </xf>
    <xf numFmtId="168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7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7" fontId="12" fillId="0" borderId="1" xfId="1" applyNumberFormat="1" applyFont="1" applyFill="1" applyBorder="1" applyAlignment="1">
      <alignment horizontal="righ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8" fontId="15" fillId="0" borderId="9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horizontal="right" vertical="center" wrapText="1"/>
    </xf>
    <xf numFmtId="166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69" fontId="11" fillId="0" borderId="1" xfId="4" applyNumberFormat="1" applyFont="1" applyFill="1" applyBorder="1" applyAlignment="1" applyProtection="1">
      <alignment horizontal="left" vertical="center" wrapText="1"/>
    </xf>
    <xf numFmtId="169" fontId="11" fillId="0" borderId="7" xfId="3" applyNumberFormat="1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6" fontId="11" fillId="0" borderId="1" xfId="1" applyNumberFormat="1" applyFont="1" applyFill="1" applyBorder="1" applyAlignment="1">
      <alignment vertical="center"/>
    </xf>
    <xf numFmtId="167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vertical="center"/>
    </xf>
    <xf numFmtId="166" fontId="20" fillId="0" borderId="1" xfId="3" applyNumberFormat="1" applyFont="1" applyFill="1" applyBorder="1" applyAlignment="1">
      <alignment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right" vertical="center" wrapText="1"/>
    </xf>
    <xf numFmtId="165" fontId="15" fillId="0" borderId="1" xfId="1" applyFont="1" applyFill="1" applyBorder="1" applyAlignment="1">
      <alignment horizontal="right" vertical="center" wrapText="1"/>
    </xf>
    <xf numFmtId="167" fontId="10" fillId="0" borderId="2" xfId="1" applyNumberFormat="1" applyFont="1" applyFill="1" applyBorder="1" applyAlignment="1">
      <alignment horizontal="right" vertical="center" wrapText="1"/>
    </xf>
    <xf numFmtId="166" fontId="15" fillId="0" borderId="2" xfId="1" applyNumberFormat="1" applyFont="1" applyFill="1" applyBorder="1" applyAlignment="1">
      <alignment horizontal="right" vertical="center" wrapText="1"/>
    </xf>
    <xf numFmtId="165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7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8" fontId="15" fillId="0" borderId="15" xfId="3" applyNumberFormat="1" applyFont="1" applyFill="1" applyBorder="1" applyAlignment="1">
      <alignment vertical="center" wrapText="1"/>
    </xf>
    <xf numFmtId="168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8" fontId="15" fillId="0" borderId="1" xfId="3" applyNumberFormat="1" applyFont="1" applyFill="1" applyBorder="1" applyAlignment="1">
      <alignment horizontal="center" vertical="center" wrapText="1"/>
    </xf>
    <xf numFmtId="166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5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0" fontId="8" fillId="0" borderId="0" xfId="2" applyFont="1" applyFill="1" applyBorder="1"/>
    <xf numFmtId="167" fontId="15" fillId="0" borderId="7" xfId="1" applyNumberFormat="1" applyFont="1" applyFill="1" applyBorder="1" applyAlignment="1">
      <alignment vertical="center" wrapText="1"/>
    </xf>
    <xf numFmtId="167" fontId="10" fillId="0" borderId="7" xfId="1" applyNumberFormat="1" applyFont="1" applyFill="1" applyBorder="1" applyAlignment="1">
      <alignment vertical="center" wrapText="1"/>
    </xf>
    <xf numFmtId="166" fontId="15" fillId="0" borderId="1" xfId="3" applyNumberFormat="1" applyFont="1" applyFill="1" applyBorder="1" applyAlignment="1">
      <alignment vertical="center" wrapText="1"/>
    </xf>
    <xf numFmtId="167" fontId="15" fillId="0" borderId="7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8" fontId="15" fillId="0" borderId="6" xfId="1" applyNumberFormat="1" applyFont="1" applyFill="1" applyBorder="1" applyAlignment="1">
      <alignment horizontal="right" vertical="center"/>
    </xf>
    <xf numFmtId="168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6" fontId="15" fillId="0" borderId="26" xfId="1" applyNumberFormat="1" applyFont="1" applyFill="1" applyBorder="1" applyAlignment="1">
      <alignment horizontal="center" vertical="center"/>
    </xf>
    <xf numFmtId="169" fontId="25" fillId="0" borderId="26" xfId="0" applyNumberFormat="1" applyFont="1" applyFill="1" applyBorder="1" applyAlignment="1">
      <alignment horizontal="center" vertical="top" wrapText="1"/>
    </xf>
    <xf numFmtId="166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vertical="center" wrapText="1"/>
    </xf>
    <xf numFmtId="168" fontId="15" fillId="0" borderId="7" xfId="3" applyNumberFormat="1" applyFont="1" applyFill="1" applyBorder="1" applyAlignment="1">
      <alignment vertical="center" wrapText="1"/>
    </xf>
    <xf numFmtId="168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8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5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69" fontId="11" fillId="0" borderId="1" xfId="3" applyNumberFormat="1" applyFont="1" applyFill="1" applyBorder="1" applyAlignment="1" applyProtection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166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6" fontId="15" fillId="0" borderId="1" xfId="1" applyNumberFormat="1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6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8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1" fontId="32" fillId="0" borderId="0" xfId="3" applyNumberFormat="1" applyFont="1" applyFill="1" applyBorder="1" applyAlignment="1">
      <alignment horizontal="center"/>
    </xf>
    <xf numFmtId="171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8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/>
    <xf numFmtId="167" fontId="32" fillId="0" borderId="0" xfId="1" applyNumberFormat="1" applyFont="1" applyFill="1" applyAlignment="1">
      <alignment horizontal="left"/>
    </xf>
    <xf numFmtId="166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7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6" fontId="17" fillId="0" borderId="1" xfId="5" applyNumberFormat="1" applyFont="1" applyFill="1" applyBorder="1" applyAlignment="1">
      <alignment horizontal="left" vertical="center" wrapText="1"/>
    </xf>
    <xf numFmtId="166" fontId="8" fillId="0" borderId="0" xfId="24" applyNumberFormat="1" applyFont="1" applyFill="1" applyAlignment="1">
      <alignment horizontal="right"/>
    </xf>
    <xf numFmtId="168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6" fontId="39" fillId="0" borderId="4" xfId="5" applyNumberFormat="1" applyFont="1" applyFill="1" applyBorder="1" applyAlignment="1">
      <alignment horizontal="left" vertical="center" wrapText="1" indent="2"/>
    </xf>
    <xf numFmtId="172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2" fontId="41" fillId="0" borderId="1" xfId="5" applyNumberFormat="1" applyFont="1" applyFill="1" applyBorder="1" applyAlignment="1">
      <alignment horizontal="left"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8" fontId="41" fillId="0" borderId="31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8" fontId="39" fillId="0" borderId="34" xfId="5" applyNumberFormat="1" applyFont="1" applyFill="1" applyBorder="1" applyAlignment="1">
      <alignment horizontal="right" vertical="center" wrapText="1"/>
    </xf>
    <xf numFmtId="168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6" fontId="39" fillId="0" borderId="23" xfId="5" applyNumberFormat="1" applyFont="1" applyFill="1" applyBorder="1" applyAlignment="1">
      <alignment horizontal="left" vertical="center" wrapText="1" indent="2"/>
    </xf>
    <xf numFmtId="172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2" fontId="39" fillId="0" borderId="1" xfId="9" applyNumberFormat="1" applyFont="1" applyFill="1" applyBorder="1" applyAlignment="1">
      <alignment vertical="center" wrapText="1"/>
    </xf>
    <xf numFmtId="166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6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6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2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66" fontId="39" fillId="0" borderId="1" xfId="14" applyNumberFormat="1" applyFont="1" applyFill="1" applyBorder="1" applyAlignment="1">
      <alignment vertical="center" wrapText="1"/>
    </xf>
    <xf numFmtId="172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69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72" fontId="41" fillId="0" borderId="32" xfId="5" applyNumberFormat="1" applyFont="1" applyFill="1" applyBorder="1" applyAlignment="1">
      <alignment horizontal="left" vertical="center" wrapText="1"/>
    </xf>
    <xf numFmtId="168" fontId="39" fillId="0" borderId="34" xfId="5" applyNumberFormat="1" applyFont="1" applyFill="1" applyBorder="1" applyAlignment="1">
      <alignment horizontal="right" vertical="center"/>
    </xf>
    <xf numFmtId="168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8" fontId="13" fillId="0" borderId="34" xfId="5" applyNumberFormat="1" applyFont="1" applyFill="1" applyBorder="1" applyAlignment="1">
      <alignment horizontal="right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172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8" fontId="41" fillId="0" borderId="25" xfId="5" applyNumberFormat="1" applyFont="1" applyFill="1" applyBorder="1" applyAlignment="1">
      <alignment horizontal="center" vertical="center" wrapText="1"/>
    </xf>
    <xf numFmtId="168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6" fontId="41" fillId="0" borderId="26" xfId="5" applyNumberFormat="1" applyFont="1" applyFill="1" applyBorder="1" applyAlignment="1">
      <alignment horizontal="center" vertical="center" wrapText="1"/>
    </xf>
    <xf numFmtId="172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6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7" fontId="8" fillId="0" borderId="0" xfId="3" applyNumberFormat="1" applyFont="1" applyFill="1"/>
    <xf numFmtId="167" fontId="32" fillId="0" borderId="0" xfId="24" applyNumberFormat="1" applyFont="1" applyFill="1"/>
    <xf numFmtId="167" fontId="32" fillId="0" borderId="0" xfId="24" applyNumberFormat="1" applyFont="1" applyFill="1" applyAlignment="1">
      <alignment horizontal="left"/>
    </xf>
    <xf numFmtId="166" fontId="34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67" fontId="32" fillId="0" borderId="0" xfId="24" applyNumberFormat="1" applyFont="1" applyFill="1" applyAlignment="1">
      <alignment horizontal="center" vertical="center"/>
    </xf>
    <xf numFmtId="167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6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7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8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/>
    <xf numFmtId="171" fontId="13" fillId="0" borderId="0" xfId="3" applyNumberFormat="1" applyFont="1" applyFill="1" applyBorder="1" applyAlignment="1">
      <alignment horizontal="center"/>
    </xf>
    <xf numFmtId="166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8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8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8" fontId="35" fillId="0" borderId="0" xfId="7" applyNumberFormat="1" applyFont="1" applyFill="1" applyAlignment="1">
      <alignment horizontal="right"/>
    </xf>
    <xf numFmtId="168" fontId="31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center" vertical="center"/>
    </xf>
    <xf numFmtId="168" fontId="31" fillId="0" borderId="0" xfId="0" applyNumberFormat="1" applyFont="1" applyFill="1" applyAlignment="1">
      <alignment horizontal="right" vertical="center"/>
    </xf>
    <xf numFmtId="168" fontId="31" fillId="0" borderId="0" xfId="8" applyNumberFormat="1" applyFont="1" applyFill="1" applyAlignment="1">
      <alignment horizontal="right"/>
    </xf>
    <xf numFmtId="168" fontId="15" fillId="0" borderId="1" xfId="1" applyNumberFormat="1" applyFont="1" applyFill="1" applyBorder="1" applyAlignment="1">
      <alignment horizontal="center" vertical="center"/>
    </xf>
    <xf numFmtId="168" fontId="2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10" fillId="0" borderId="7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8" fontId="10" fillId="0" borderId="1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8" fontId="8" fillId="0" borderId="0" xfId="1" applyNumberFormat="1" applyFont="1" applyFill="1" applyAlignment="1">
      <alignment horizontal="right"/>
    </xf>
    <xf numFmtId="168" fontId="15" fillId="0" borderId="25" xfId="1" applyNumberFormat="1" applyFont="1" applyFill="1" applyBorder="1" applyAlignment="1">
      <alignment horizontal="center"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6" xfId="1" applyNumberFormat="1" applyFont="1" applyFill="1" applyBorder="1" applyAlignment="1">
      <alignment horizontal="right" vertical="center" wrapText="1"/>
    </xf>
    <xf numFmtId="168" fontId="10" fillId="0" borderId="20" xfId="1" applyNumberFormat="1" applyFont="1" applyFill="1" applyBorder="1" applyAlignment="1">
      <alignment horizontal="right" vertical="center" wrapText="1"/>
    </xf>
    <xf numFmtId="168" fontId="18" fillId="0" borderId="11" xfId="3" applyNumberFormat="1" applyFont="1" applyFill="1" applyBorder="1"/>
    <xf numFmtId="168" fontId="8" fillId="0" borderId="11" xfId="3" applyNumberFormat="1" applyFont="1" applyFill="1" applyBorder="1"/>
    <xf numFmtId="168" fontId="10" fillId="0" borderId="9" xfId="1" applyNumberFormat="1" applyFont="1" applyFill="1" applyBorder="1" applyAlignment="1">
      <alignment vertical="center" wrapText="1"/>
    </xf>
    <xf numFmtId="168" fontId="12" fillId="0" borderId="9" xfId="1" applyNumberFormat="1" applyFont="1" applyFill="1" applyBorder="1" applyAlignment="1">
      <alignment horizontal="right"/>
    </xf>
    <xf numFmtId="168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2" fontId="39" fillId="0" borderId="36" xfId="5" applyNumberFormat="1" applyFont="1" applyFill="1" applyBorder="1" applyAlignment="1">
      <alignment horizontal="left" vertical="center" wrapText="1" indent="2"/>
    </xf>
    <xf numFmtId="166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168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5" fontId="54" fillId="0" borderId="38" xfId="26" applyNumberFormat="1" applyFont="1" applyFill="1" applyBorder="1" applyAlignment="1">
      <alignment horizontal="center"/>
    </xf>
    <xf numFmtId="166" fontId="7" fillId="0" borderId="0" xfId="7" applyNumberFormat="1" applyFill="1" applyAlignment="1">
      <alignment horizontal="center"/>
    </xf>
    <xf numFmtId="166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7" fontId="32" fillId="0" borderId="0" xfId="25" applyNumberFormat="1" applyFont="1" applyFill="1" applyAlignment="1">
      <alignment horizontal="right"/>
    </xf>
    <xf numFmtId="166" fontId="34" fillId="0" borderId="0" xfId="25" applyNumberFormat="1" applyFont="1" applyFill="1" applyAlignment="1">
      <alignment horizontal="right"/>
    </xf>
    <xf numFmtId="167" fontId="32" fillId="0" borderId="0" xfId="25" applyNumberFormat="1" applyFont="1" applyFill="1" applyAlignment="1">
      <alignment horizontal="left"/>
    </xf>
    <xf numFmtId="167" fontId="32" fillId="0" borderId="0" xfId="25" applyNumberFormat="1" applyFont="1" applyFill="1" applyAlignment="1">
      <alignment horizontal="center" vertical="center"/>
    </xf>
    <xf numFmtId="168" fontId="32" fillId="0" borderId="0" xfId="25" applyNumberFormat="1" applyFont="1" applyFill="1" applyAlignment="1">
      <alignment horizontal="right"/>
    </xf>
    <xf numFmtId="167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6" fontId="31" fillId="0" borderId="0" xfId="25" applyNumberFormat="1" applyFont="1" applyFill="1" applyAlignment="1">
      <alignment horizontal="right"/>
    </xf>
    <xf numFmtId="166" fontId="15" fillId="0" borderId="1" xfId="25" applyNumberFormat="1" applyFont="1" applyFill="1" applyBorder="1" applyAlignment="1">
      <alignment horizontal="center" vertical="center"/>
    </xf>
    <xf numFmtId="167" fontId="21" fillId="0" borderId="1" xfId="25" applyNumberFormat="1" applyFont="1" applyFill="1" applyBorder="1" applyAlignment="1">
      <alignment horizontal="right" vertical="center" wrapText="1"/>
    </xf>
    <xf numFmtId="166" fontId="21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5" fillId="0" borderId="1" xfId="25" applyNumberFormat="1" applyFont="1" applyFill="1" applyBorder="1" applyAlignment="1">
      <alignment horizontal="right" vertical="center" wrapText="1"/>
    </xf>
    <xf numFmtId="165" fontId="10" fillId="0" borderId="1" xfId="25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5" fontId="26" fillId="0" borderId="1" xfId="25" applyFont="1" applyFill="1" applyBorder="1" applyAlignment="1">
      <alignment horizontal="right" vertical="center" wrapText="1"/>
    </xf>
    <xf numFmtId="167" fontId="10" fillId="0" borderId="15" xfId="25" applyNumberFormat="1" applyFont="1" applyFill="1" applyBorder="1" applyAlignment="1">
      <alignment horizontal="right" vertical="center" wrapText="1"/>
    </xf>
    <xf numFmtId="165" fontId="15" fillId="0" borderId="1" xfId="25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vertical="center" wrapText="1"/>
    </xf>
    <xf numFmtId="166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5" fontId="11" fillId="0" borderId="1" xfId="25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/>
    </xf>
    <xf numFmtId="167" fontId="15" fillId="0" borderId="7" xfId="25" applyNumberFormat="1" applyFont="1" applyFill="1" applyBorder="1" applyAlignment="1">
      <alignment horizontal="center" vertical="center"/>
    </xf>
    <xf numFmtId="167" fontId="15" fillId="0" borderId="7" xfId="25" applyNumberFormat="1" applyFont="1" applyFill="1" applyBorder="1" applyAlignment="1">
      <alignment vertical="center" wrapText="1"/>
    </xf>
    <xf numFmtId="170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7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7" fontId="10" fillId="0" borderId="2" xfId="25" applyNumberFormat="1" applyFont="1" applyFill="1" applyBorder="1" applyAlignment="1">
      <alignment horizontal="right" vertical="center" wrapText="1"/>
    </xf>
    <xf numFmtId="165" fontId="15" fillId="0" borderId="2" xfId="25" applyFont="1" applyFill="1" applyBorder="1" applyAlignment="1">
      <alignment horizontal="right" vertical="center" wrapText="1"/>
    </xf>
    <xf numFmtId="166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8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7" fontId="8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166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69" fontId="11" fillId="0" borderId="1" xfId="31" applyNumberFormat="1" applyFont="1" applyFill="1" applyBorder="1" applyAlignment="1" applyProtection="1">
      <alignment horizontal="left" vertical="center" wrapText="1"/>
    </xf>
    <xf numFmtId="166" fontId="10" fillId="0" borderId="0" xfId="25" applyNumberFormat="1" applyFont="1" applyFill="1" applyBorder="1" applyAlignment="1">
      <alignment horizontal="right" vertical="center" wrapText="1"/>
    </xf>
    <xf numFmtId="166" fontId="57" fillId="0" borderId="1" xfId="5" applyNumberFormat="1" applyFont="1" applyFill="1" applyBorder="1" applyAlignment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6" fontId="10" fillId="0" borderId="10" xfId="25" applyNumberFormat="1" applyFont="1" applyFill="1" applyBorder="1" applyAlignment="1">
      <alignment horizontal="right" vertical="center" wrapText="1"/>
    </xf>
    <xf numFmtId="166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168" fontId="11" fillId="0" borderId="1" xfId="3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/>
    </xf>
    <xf numFmtId="168" fontId="39" fillId="0" borderId="7" xfId="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/>
    <xf numFmtId="174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vertical="center" wrapText="1"/>
    </xf>
    <xf numFmtId="172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6" fontId="10" fillId="0" borderId="14" xfId="25" applyNumberFormat="1" applyFont="1" applyFill="1" applyBorder="1" applyAlignment="1">
      <alignment horizontal="right" vertical="center" wrapText="1"/>
    </xf>
    <xf numFmtId="172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7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6" fontId="58" fillId="0" borderId="0" xfId="1" applyNumberFormat="1" applyFont="1" applyFill="1" applyAlignment="1">
      <alignment horizontal="right"/>
    </xf>
    <xf numFmtId="168" fontId="58" fillId="0" borderId="0" xfId="1" applyNumberFormat="1" applyFont="1" applyFill="1" applyAlignment="1">
      <alignment horizontal="right"/>
    </xf>
    <xf numFmtId="168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8" fontId="52" fillId="0" borderId="0" xfId="24" applyNumberFormat="1" applyFont="1" applyFill="1" applyAlignment="1"/>
    <xf numFmtId="168" fontId="52" fillId="0" borderId="0" xfId="7" applyNumberFormat="1" applyFont="1" applyFill="1" applyAlignment="1"/>
    <xf numFmtId="166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69" fontId="25" fillId="2" borderId="28" xfId="9" applyNumberFormat="1" applyFont="1" applyFill="1" applyBorder="1" applyAlignment="1">
      <alignment horizontal="center" vertical="top" wrapText="1"/>
    </xf>
    <xf numFmtId="169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7" fontId="25" fillId="2" borderId="7" xfId="24" applyNumberFormat="1" applyFont="1" applyFill="1" applyBorder="1" applyAlignment="1">
      <alignment horizontal="center" vertical="top" wrapText="1"/>
    </xf>
    <xf numFmtId="166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6" fontId="60" fillId="2" borderId="7" xfId="24" applyNumberFormat="1" applyFont="1" applyFill="1" applyBorder="1" applyAlignment="1">
      <alignment horizontal="right" vertical="center" wrapText="1"/>
    </xf>
    <xf numFmtId="166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166" fontId="11" fillId="2" borderId="59" xfId="24" applyNumberFormat="1" applyFont="1" applyFill="1" applyBorder="1" applyAlignment="1">
      <alignment horizontal="right" vertical="center" wrapText="1"/>
    </xf>
    <xf numFmtId="166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6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6" fontId="34" fillId="0" borderId="0" xfId="24" applyNumberFormat="1" applyFont="1" applyAlignment="1">
      <alignment horizontal="right"/>
    </xf>
    <xf numFmtId="167" fontId="32" fillId="0" borderId="0" xfId="24" applyNumberFormat="1" applyFont="1" applyAlignment="1">
      <alignment horizontal="left"/>
    </xf>
    <xf numFmtId="167" fontId="32" fillId="0" borderId="0" xfId="24" applyNumberFormat="1" applyFont="1" applyAlignment="1">
      <alignment horizontal="center" vertical="center"/>
    </xf>
    <xf numFmtId="167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1" fontId="32" fillId="0" borderId="0" xfId="3" applyNumberFormat="1" applyFont="1" applyBorder="1" applyAlignment="1">
      <alignment horizontal="left"/>
    </xf>
    <xf numFmtId="171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6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7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7" fontId="11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5" fontId="10" fillId="0" borderId="1" xfId="24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6" fontId="15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69" fontId="11" fillId="2" borderId="1" xfId="3" applyNumberFormat="1" applyFont="1" applyFill="1" applyBorder="1" applyAlignment="1" applyProtection="1">
      <alignment horizontal="left" vertical="center" wrapText="1"/>
    </xf>
    <xf numFmtId="169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6" fontId="26" fillId="0" borderId="1" xfId="24" applyNumberFormat="1" applyFont="1" applyFill="1" applyBorder="1" applyAlignment="1">
      <alignment horizontal="right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6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5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7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5" fontId="15" fillId="0" borderId="1" xfId="24" applyFont="1" applyFill="1" applyBorder="1" applyAlignment="1">
      <alignment horizontal="right" vertical="center" wrapText="1"/>
    </xf>
    <xf numFmtId="167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6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6" fontId="27" fillId="0" borderId="1" xfId="24" applyNumberFormat="1" applyFont="1" applyFill="1" applyBorder="1" applyAlignment="1">
      <alignment horizontal="right" vertical="center" wrapText="1"/>
    </xf>
    <xf numFmtId="165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7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0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6" fontId="50" fillId="0" borderId="7" xfId="5" applyNumberFormat="1" applyFont="1" applyFill="1" applyBorder="1" applyAlignment="1">
      <alignment horizontal="left" vertical="center" wrapText="1"/>
    </xf>
    <xf numFmtId="172" fontId="39" fillId="0" borderId="7" xfId="5" applyNumberFormat="1" applyFont="1" applyFill="1" applyBorder="1" applyAlignment="1">
      <alignment vertical="center" wrapText="1"/>
    </xf>
    <xf numFmtId="168" fontId="15" fillId="0" borderId="6" xfId="1" applyNumberFormat="1" applyFont="1" applyFill="1" applyBorder="1" applyAlignment="1">
      <alignment vertical="center" wrapText="1"/>
    </xf>
    <xf numFmtId="168" fontId="15" fillId="0" borderId="22" xfId="3" applyNumberFormat="1" applyFont="1" applyFill="1" applyBorder="1" applyAlignment="1">
      <alignment vertical="center" wrapText="1"/>
    </xf>
    <xf numFmtId="168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6" fontId="11" fillId="0" borderId="37" xfId="24" applyNumberFormat="1" applyFont="1" applyFill="1" applyBorder="1" applyAlignment="1">
      <alignment horizontal="right" vertical="center" wrapText="1"/>
    </xf>
    <xf numFmtId="169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7" fontId="25" fillId="0" borderId="1" xfId="24" applyNumberFormat="1" applyFont="1" applyFill="1" applyBorder="1" applyAlignment="1">
      <alignment horizontal="center" vertical="top" wrapText="1"/>
    </xf>
    <xf numFmtId="167" fontId="60" fillId="0" borderId="1" xfId="24" applyNumberFormat="1" applyFont="1" applyFill="1" applyBorder="1" applyAlignment="1">
      <alignment horizontal="center" vertical="center" wrapText="1"/>
    </xf>
    <xf numFmtId="172" fontId="11" fillId="0" borderId="1" xfId="5" applyNumberFormat="1" applyFont="1" applyFill="1" applyBorder="1" applyAlignment="1">
      <alignment horizontal="left" vertical="center" wrapText="1"/>
    </xf>
    <xf numFmtId="167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6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6" fontId="10" fillId="0" borderId="1" xfId="24" applyNumberFormat="1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center" vertical="center" wrapText="1"/>
    </xf>
    <xf numFmtId="169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4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4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6" fontId="10" fillId="0" borderId="18" xfId="24" applyNumberFormat="1" applyFont="1" applyFill="1" applyBorder="1" applyAlignment="1">
      <alignment horizontal="right" vertical="center" wrapText="1"/>
    </xf>
    <xf numFmtId="168" fontId="14" fillId="0" borderId="2" xfId="3" applyNumberFormat="1" applyFont="1" applyFill="1" applyBorder="1" applyAlignment="1">
      <alignment horizontal="center" vertical="center" wrapText="1"/>
    </xf>
    <xf numFmtId="168" fontId="11" fillId="0" borderId="2" xfId="3" applyNumberFormat="1" applyFont="1" applyFill="1" applyBorder="1"/>
    <xf numFmtId="174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4" fontId="10" fillId="0" borderId="7" xfId="24" applyNumberFormat="1" applyFont="1" applyFill="1" applyBorder="1" applyAlignment="1">
      <alignment horizontal="right" vertical="center" wrapText="1"/>
    </xf>
    <xf numFmtId="166" fontId="15" fillId="0" borderId="7" xfId="25" applyNumberFormat="1" applyFont="1" applyFill="1" applyBorder="1" applyAlignment="1">
      <alignment horizontal="righ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6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2" fontId="49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2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2" fontId="41" fillId="0" borderId="7" xfId="5" applyNumberFormat="1" applyFont="1" applyFill="1" applyBorder="1" applyAlignment="1">
      <alignment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6" fontId="13" fillId="0" borderId="0" xfId="24" applyNumberFormat="1" applyFont="1" applyFill="1" applyAlignment="1">
      <alignment horizontal="right"/>
    </xf>
    <xf numFmtId="172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8" fontId="41" fillId="0" borderId="62" xfId="5" applyNumberFormat="1" applyFont="1" applyFill="1" applyBorder="1" applyAlignment="1">
      <alignment horizontal="right" vertical="center" wrapText="1"/>
    </xf>
    <xf numFmtId="168" fontId="41" fillId="0" borderId="63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 indent="2"/>
    </xf>
    <xf numFmtId="166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8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6" fontId="15" fillId="0" borderId="7" xfId="25" applyNumberFormat="1" applyFont="1" applyFill="1" applyBorder="1" applyAlignment="1">
      <alignment horizontal="center" vertical="center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1" fillId="0" borderId="7" xfId="31" applyNumberFormat="1" applyFont="1" applyFill="1" applyBorder="1" applyAlignment="1">
      <alignment horizontal="lef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left"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/>
    </xf>
    <xf numFmtId="166" fontId="11" fillId="0" borderId="7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8" fillId="0" borderId="2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15" fillId="0" borderId="26" xfId="25" applyNumberFormat="1" applyFont="1" applyFill="1" applyBorder="1" applyAlignment="1">
      <alignment horizontal="center" vertical="center"/>
    </xf>
    <xf numFmtId="166" fontId="8" fillId="0" borderId="27" xfId="25" applyNumberFormat="1" applyFont="1" applyFill="1" applyBorder="1" applyAlignment="1">
      <alignment horizontal="right"/>
    </xf>
    <xf numFmtId="166" fontId="15" fillId="0" borderId="25" xfId="25" applyNumberFormat="1" applyFont="1" applyFill="1" applyBorder="1" applyAlignment="1">
      <alignment horizontal="center" vertical="center"/>
    </xf>
    <xf numFmtId="166" fontId="8" fillId="0" borderId="0" xfId="25" applyNumberFormat="1" applyFont="1" applyFill="1" applyBorder="1" applyAlignment="1">
      <alignment horizontal="right"/>
    </xf>
    <xf numFmtId="168" fontId="15" fillId="0" borderId="6" xfId="25" applyNumberFormat="1" applyFont="1" applyFill="1" applyBorder="1" applyAlignment="1">
      <alignment horizontal="right" vertical="center"/>
    </xf>
    <xf numFmtId="167" fontId="15" fillId="0" borderId="6" xfId="25" applyNumberFormat="1" applyFont="1" applyFill="1" applyBorder="1" applyAlignment="1">
      <alignment horizontal="center" vertical="center"/>
    </xf>
    <xf numFmtId="167" fontId="15" fillId="0" borderId="6" xfId="25" applyNumberFormat="1" applyFont="1" applyFill="1" applyBorder="1" applyAlignment="1">
      <alignment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10" fillId="0" borderId="6" xfId="25" applyNumberFormat="1" applyFont="1" applyFill="1" applyBorder="1" applyAlignment="1">
      <alignment horizontal="right" vertical="center" wrapText="1"/>
    </xf>
    <xf numFmtId="167" fontId="10" fillId="0" borderId="9" xfId="1" applyNumberFormat="1" applyFont="1" applyFill="1" applyBorder="1" applyAlignment="1">
      <alignment horizontal="right" vertical="center" wrapText="1"/>
    </xf>
    <xf numFmtId="167" fontId="11" fillId="0" borderId="9" xfId="31" applyNumberFormat="1" applyFont="1" applyFill="1" applyBorder="1" applyAlignment="1">
      <alignment horizontal="left" vertical="center" wrapText="1"/>
    </xf>
    <xf numFmtId="167" fontId="10" fillId="0" borderId="20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8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 applyBorder="1"/>
    <xf numFmtId="166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7" fontId="10" fillId="0" borderId="9" xfId="25" applyNumberFormat="1" applyFont="1" applyFill="1" applyBorder="1" applyAlignment="1">
      <alignment vertical="center" wrapText="1"/>
    </xf>
    <xf numFmtId="167" fontId="15" fillId="0" borderId="17" xfId="25" applyNumberFormat="1" applyFont="1" applyFill="1" applyBorder="1" applyAlignment="1">
      <alignment vertical="center" wrapText="1"/>
    </xf>
    <xf numFmtId="167" fontId="10" fillId="0" borderId="17" xfId="25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/>
    </xf>
    <xf numFmtId="166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6" fontId="15" fillId="0" borderId="6" xfId="2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8" fontId="41" fillId="0" borderId="28" xfId="5" applyNumberFormat="1" applyFont="1" applyFill="1" applyBorder="1" applyAlignment="1">
      <alignment horizontal="center" vertical="center" wrapText="1"/>
    </xf>
    <xf numFmtId="168" fontId="13" fillId="0" borderId="15" xfId="5" applyNumberFormat="1" applyFont="1" applyFill="1" applyBorder="1" applyAlignment="1">
      <alignment horizontal="right" vertical="center" wrapText="1"/>
    </xf>
    <xf numFmtId="168" fontId="41" fillId="0" borderId="60" xfId="5" applyNumberFormat="1" applyFont="1" applyFill="1" applyBorder="1" applyAlignment="1">
      <alignment horizontal="right" vertical="center" wrapText="1"/>
    </xf>
    <xf numFmtId="168" fontId="41" fillId="0" borderId="18" xfId="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/>
    </xf>
    <xf numFmtId="168" fontId="39" fillId="0" borderId="7" xfId="5" applyNumberFormat="1" applyFont="1" applyFill="1" applyBorder="1" applyAlignment="1">
      <alignment horizontal="right" vertical="center"/>
    </xf>
    <xf numFmtId="168" fontId="39" fillId="0" borderId="15" xfId="5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2" fontId="41" fillId="0" borderId="32" xfId="5" applyNumberFormat="1" applyFont="1" applyFill="1" applyBorder="1" applyAlignment="1">
      <alignment horizontal="center" vertical="center" wrapText="1"/>
    </xf>
    <xf numFmtId="166" fontId="41" fillId="0" borderId="32" xfId="5" applyNumberFormat="1" applyFont="1" applyFill="1" applyBorder="1" applyAlignment="1">
      <alignment horizontal="center" vertical="center" wrapText="1"/>
    </xf>
    <xf numFmtId="168" fontId="41" fillId="0" borderId="31" xfId="5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/>
    <xf numFmtId="175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8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8" fontId="52" fillId="0" borderId="2" xfId="25" applyNumberFormat="1" applyFont="1" applyFill="1" applyBorder="1" applyAlignment="1"/>
    <xf numFmtId="168" fontId="52" fillId="0" borderId="2" xfId="7" applyNumberFormat="1" applyFont="1" applyFill="1" applyBorder="1" applyAlignment="1"/>
    <xf numFmtId="168" fontId="52" fillId="0" borderId="1" xfId="25" applyNumberFormat="1" applyFont="1" applyFill="1" applyBorder="1" applyAlignment="1"/>
    <xf numFmtId="174" fontId="52" fillId="0" borderId="1" xfId="7" applyNumberFormat="1" applyFont="1" applyFill="1" applyBorder="1" applyAlignment="1"/>
    <xf numFmtId="174" fontId="52" fillId="0" borderId="1" xfId="25" applyNumberFormat="1" applyFont="1" applyFill="1" applyBorder="1" applyAlignment="1"/>
    <xf numFmtId="168" fontId="52" fillId="0" borderId="28" xfId="25" applyNumberFormat="1" applyFont="1" applyFill="1" applyBorder="1" applyAlignment="1"/>
    <xf numFmtId="168" fontId="52" fillId="0" borderId="26" xfId="25" applyNumberFormat="1" applyFont="1" applyFill="1" applyBorder="1" applyAlignment="1"/>
    <xf numFmtId="174" fontId="52" fillId="0" borderId="25" xfId="25" applyNumberFormat="1" applyFont="1" applyFill="1" applyBorder="1" applyAlignment="1"/>
    <xf numFmtId="168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center" wrapText="1" indent="2"/>
    </xf>
    <xf numFmtId="168" fontId="58" fillId="0" borderId="0" xfId="3" applyNumberFormat="1" applyFont="1" applyFill="1"/>
    <xf numFmtId="0" fontId="58" fillId="0" borderId="0" xfId="3" applyFont="1" applyFill="1" applyBorder="1"/>
    <xf numFmtId="168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6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6" fontId="10" fillId="0" borderId="4" xfId="25" applyNumberFormat="1" applyFont="1" applyFill="1" applyBorder="1" applyAlignment="1">
      <alignment horizontal="right" vertical="center" wrapText="1"/>
    </xf>
    <xf numFmtId="166" fontId="8" fillId="0" borderId="4" xfId="25" applyNumberFormat="1" applyFont="1" applyFill="1" applyBorder="1" applyAlignment="1">
      <alignment horizontal="right"/>
    </xf>
    <xf numFmtId="166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8" fontId="12" fillId="0" borderId="20" xfId="1" applyNumberFormat="1" applyFont="1" applyFill="1" applyBorder="1" applyAlignment="1">
      <alignment horizontal="right"/>
    </xf>
    <xf numFmtId="166" fontId="10" fillId="0" borderId="4" xfId="1" applyNumberFormat="1" applyFont="1" applyFill="1" applyBorder="1" applyAlignment="1">
      <alignment horizontal="right" vertical="center" wrapText="1"/>
    </xf>
    <xf numFmtId="166" fontId="8" fillId="0" borderId="4" xfId="1" applyNumberFormat="1" applyFont="1" applyFill="1" applyBorder="1" applyAlignment="1">
      <alignment horizontal="right"/>
    </xf>
    <xf numFmtId="168" fontId="52" fillId="0" borderId="1" xfId="25" applyNumberFormat="1" applyFont="1" applyFill="1" applyBorder="1" applyAlignment="1"/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7" fontId="8" fillId="0" borderId="0" xfId="3" applyNumberFormat="1" applyFont="1" applyFill="1" applyBorder="1"/>
    <xf numFmtId="171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6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8" fontId="14" fillId="6" borderId="1" xfId="3" applyNumberFormat="1" applyFont="1" applyFill="1" applyBorder="1" applyAlignment="1">
      <alignment horizontal="center" vertical="center" wrapText="1"/>
    </xf>
    <xf numFmtId="168" fontId="11" fillId="6" borderId="1" xfId="3" applyNumberFormat="1" applyFont="1" applyFill="1" applyBorder="1"/>
    <xf numFmtId="168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6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8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7" fontId="15" fillId="0" borderId="20" xfId="25" applyNumberFormat="1" applyFont="1" applyFill="1" applyBorder="1" applyAlignment="1">
      <alignment horizontal="right" vertical="center" wrapText="1"/>
    </xf>
    <xf numFmtId="167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0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6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7" fontId="11" fillId="0" borderId="1" xfId="24" applyNumberFormat="1" applyFont="1" applyFill="1" applyBorder="1" applyAlignment="1">
      <alignment vertical="center"/>
    </xf>
    <xf numFmtId="167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6" fontId="11" fillId="0" borderId="1" xfId="9" applyNumberFormat="1" applyFont="1" applyBorder="1" applyAlignment="1">
      <alignment horizontal="right" wrapText="1"/>
    </xf>
    <xf numFmtId="166" fontId="11" fillId="0" borderId="0" xfId="24" applyNumberFormat="1" applyFont="1" applyAlignment="1">
      <alignment horizontal="right"/>
    </xf>
    <xf numFmtId="166" fontId="11" fillId="0" borderId="1" xfId="3" applyNumberFormat="1" applyFont="1" applyBorder="1"/>
    <xf numFmtId="0" fontId="11" fillId="0" borderId="1" xfId="3" applyFont="1" applyBorder="1"/>
    <xf numFmtId="167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6" fontId="10" fillId="8" borderId="7" xfId="25" applyNumberFormat="1" applyFont="1" applyFill="1" applyBorder="1" applyAlignment="1">
      <alignment horizontal="right" vertical="center" wrapText="1"/>
    </xf>
    <xf numFmtId="166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8" fontId="31" fillId="0" borderId="0" xfId="24" applyNumberFormat="1" applyFont="1" applyFill="1" applyAlignment="1"/>
    <xf numFmtId="168" fontId="31" fillId="0" borderId="0" xfId="7" applyNumberFormat="1" applyFont="1" applyFill="1" applyAlignment="1"/>
    <xf numFmtId="0" fontId="74" fillId="0" borderId="0" xfId="7" applyFont="1" applyFill="1"/>
    <xf numFmtId="168" fontId="31" fillId="0" borderId="1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168" fontId="24" fillId="0" borderId="38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0" xfId="24" applyNumberFormat="1" applyFont="1" applyFill="1" applyAlignment="1">
      <alignment horizontal="right" vertical="distributed"/>
    </xf>
    <xf numFmtId="168" fontId="31" fillId="0" borderId="0" xfId="7" applyNumberFormat="1" applyFont="1" applyFill="1" applyAlignment="1">
      <alignment horizontal="right" vertical="distributed"/>
    </xf>
    <xf numFmtId="168" fontId="31" fillId="0" borderId="28" xfId="24" applyNumberFormat="1" applyFont="1" applyFill="1" applyBorder="1" applyAlignment="1">
      <alignment horizontal="right" vertical="distributed"/>
    </xf>
    <xf numFmtId="168" fontId="31" fillId="0" borderId="26" xfId="24" applyNumberFormat="1" applyFont="1" applyFill="1" applyBorder="1" applyAlignment="1">
      <alignment horizontal="right" vertical="distributed"/>
    </xf>
    <xf numFmtId="168" fontId="31" fillId="0" borderId="25" xfId="24" applyNumberFormat="1" applyFont="1" applyFill="1" applyBorder="1" applyAlignment="1">
      <alignment horizontal="right" vertical="distributed"/>
    </xf>
    <xf numFmtId="168" fontId="24" fillId="0" borderId="45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6" fontId="47" fillId="0" borderId="0" xfId="3" applyNumberFormat="1" applyFont="1" applyFill="1"/>
    <xf numFmtId="172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6" fontId="31" fillId="0" borderId="47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66" fontId="8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right"/>
    </xf>
    <xf numFmtId="166" fontId="34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left"/>
    </xf>
    <xf numFmtId="167" fontId="32" fillId="0" borderId="0" xfId="34" applyNumberFormat="1" applyFont="1" applyFill="1" applyAlignment="1">
      <alignment horizontal="center" vertical="center"/>
    </xf>
    <xf numFmtId="168" fontId="32" fillId="0" borderId="0" xfId="34" applyNumberFormat="1" applyFont="1" applyFill="1" applyAlignment="1">
      <alignment horizontal="right"/>
    </xf>
    <xf numFmtId="167" fontId="32" fillId="0" borderId="0" xfId="34" applyNumberFormat="1" applyFont="1" applyFill="1"/>
    <xf numFmtId="166" fontId="31" fillId="0" borderId="0" xfId="34" applyNumberFormat="1" applyFont="1" applyFill="1" applyAlignment="1">
      <alignment horizontal="right"/>
    </xf>
    <xf numFmtId="166" fontId="15" fillId="0" borderId="1" xfId="34" applyNumberFormat="1" applyFont="1" applyFill="1" applyBorder="1" applyAlignment="1">
      <alignment horizontal="center" vertical="center"/>
    </xf>
    <xf numFmtId="167" fontId="21" fillId="0" borderId="1" xfId="34" applyNumberFormat="1" applyFont="1" applyFill="1" applyBorder="1" applyAlignment="1">
      <alignment horizontal="right" vertical="center" wrapText="1"/>
    </xf>
    <xf numFmtId="166" fontId="21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5" fillId="0" borderId="1" xfId="34" applyNumberFormat="1" applyFont="1" applyFill="1" applyBorder="1" applyAlignment="1">
      <alignment horizontal="right" vertical="center" wrapText="1"/>
    </xf>
    <xf numFmtId="165" fontId="10" fillId="0" borderId="1" xfId="34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5" fontId="26" fillId="0" borderId="1" xfId="34" applyFont="1" applyFill="1" applyBorder="1" applyAlignment="1">
      <alignment horizontal="right" vertical="center" wrapText="1"/>
    </xf>
    <xf numFmtId="167" fontId="10" fillId="0" borderId="15" xfId="34" applyNumberFormat="1" applyFont="1" applyFill="1" applyBorder="1" applyAlignment="1">
      <alignment horizontal="right" vertical="center" wrapText="1"/>
    </xf>
    <xf numFmtId="165" fontId="15" fillId="0" borderId="1" xfId="34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vertical="center" wrapText="1"/>
    </xf>
    <xf numFmtId="166" fontId="10" fillId="0" borderId="1" xfId="34" applyNumberFormat="1" applyFont="1" applyFill="1" applyBorder="1" applyAlignment="1">
      <alignment vertical="center" wrapText="1"/>
    </xf>
    <xf numFmtId="165" fontId="11" fillId="0" borderId="1" xfId="34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vertical="center" wrapText="1"/>
    </xf>
    <xf numFmtId="166" fontId="15" fillId="0" borderId="26" xfId="34" applyNumberFormat="1" applyFont="1" applyFill="1" applyBorder="1" applyAlignment="1">
      <alignment horizontal="center" vertical="center"/>
    </xf>
    <xf numFmtId="166" fontId="8" fillId="0" borderId="27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right" vertical="center"/>
    </xf>
    <xf numFmtId="166" fontId="8" fillId="0" borderId="0" xfId="34" applyNumberFormat="1" applyFont="1" applyFill="1" applyBorder="1" applyAlignment="1">
      <alignment horizontal="right"/>
    </xf>
    <xf numFmtId="167" fontId="15" fillId="0" borderId="7" xfId="34" applyNumberFormat="1" applyFont="1" applyFill="1" applyBorder="1" applyAlignment="1">
      <alignment horizontal="center" vertical="center"/>
    </xf>
    <xf numFmtId="167" fontId="15" fillId="0" borderId="7" xfId="34" applyNumberFormat="1" applyFont="1" applyFill="1" applyBorder="1" applyAlignment="1">
      <alignment vertical="center" wrapText="1"/>
    </xf>
    <xf numFmtId="170" fontId="8" fillId="0" borderId="0" xfId="36" applyFont="1" applyFill="1" applyBorder="1"/>
    <xf numFmtId="167" fontId="10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6" fontId="10" fillId="0" borderId="9" xfId="34" applyNumberFormat="1" applyFont="1" applyFill="1" applyBorder="1" applyAlignment="1">
      <alignment horizontal="right" vertical="center" wrapText="1"/>
    </xf>
    <xf numFmtId="166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7" fontId="11" fillId="0" borderId="1" xfId="37" applyNumberFormat="1" applyFont="1" applyFill="1" applyBorder="1" applyAlignment="1">
      <alignment horizontal="left" vertical="center" wrapText="1"/>
    </xf>
    <xf numFmtId="167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7" fontId="10" fillId="0" borderId="2" xfId="34" applyNumberFormat="1" applyFont="1" applyFill="1" applyBorder="1" applyAlignment="1">
      <alignment horizontal="right" vertical="center" wrapText="1"/>
    </xf>
    <xf numFmtId="165" fontId="15" fillId="0" borderId="2" xfId="34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8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72" fontId="50" fillId="0" borderId="1" xfId="11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69" fontId="11" fillId="0" borderId="1" xfId="37" applyNumberFormat="1" applyFont="1" applyFill="1" applyBorder="1" applyAlignment="1" applyProtection="1">
      <alignment horizontal="left" vertical="center" wrapText="1"/>
    </xf>
    <xf numFmtId="166" fontId="11" fillId="0" borderId="1" xfId="34" applyNumberFormat="1" applyFont="1" applyFill="1" applyBorder="1" applyAlignment="1">
      <alignment horizontal="left" vertical="center" wrapText="1"/>
    </xf>
    <xf numFmtId="166" fontId="10" fillId="0" borderId="0" xfId="34" applyNumberFormat="1" applyFont="1" applyFill="1" applyBorder="1" applyAlignment="1">
      <alignment horizontal="right" vertical="center" wrapText="1"/>
    </xf>
    <xf numFmtId="168" fontId="15" fillId="0" borderId="7" xfId="34" applyNumberFormat="1" applyFont="1" applyFill="1" applyBorder="1" applyAlignment="1">
      <alignment horizontal="righ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6" fontId="10" fillId="0" borderId="10" xfId="34" applyNumberFormat="1" applyFont="1" applyFill="1" applyBorder="1" applyAlignment="1">
      <alignment horizontal="right" vertical="center" wrapText="1"/>
    </xf>
    <xf numFmtId="166" fontId="10" fillId="0" borderId="18" xfId="34" applyNumberFormat="1" applyFont="1" applyFill="1" applyBorder="1" applyAlignment="1">
      <alignment horizontal="right" vertical="center" wrapText="1"/>
    </xf>
    <xf numFmtId="172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7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9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6" fontId="12" fillId="0" borderId="2" xfId="34" applyNumberFormat="1" applyFont="1" applyFill="1" applyBorder="1" applyAlignment="1">
      <alignment horizontal="right"/>
    </xf>
    <xf numFmtId="166" fontId="8" fillId="0" borderId="2" xfId="34" applyNumberFormat="1" applyFont="1" applyFill="1" applyBorder="1" applyAlignment="1">
      <alignment horizontal="right"/>
    </xf>
    <xf numFmtId="166" fontId="13" fillId="0" borderId="2" xfId="34" applyNumberFormat="1" applyFont="1" applyFill="1" applyBorder="1" applyAlignment="1">
      <alignment horizontal="right"/>
    </xf>
    <xf numFmtId="166" fontId="12" fillId="0" borderId="20" xfId="34" applyNumberFormat="1" applyFont="1" applyFill="1" applyBorder="1" applyAlignment="1">
      <alignment horizontal="right"/>
    </xf>
    <xf numFmtId="166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6" fontId="10" fillId="0" borderId="4" xfId="34" applyNumberFormat="1" applyFont="1" applyFill="1" applyBorder="1" applyAlignment="1">
      <alignment horizontal="right" vertical="center" wrapText="1"/>
    </xf>
    <xf numFmtId="166" fontId="8" fillId="0" borderId="4" xfId="34" applyNumberFormat="1" applyFont="1" applyFill="1" applyBorder="1" applyAlignment="1">
      <alignment horizontal="right"/>
    </xf>
    <xf numFmtId="166" fontId="10" fillId="0" borderId="3" xfId="34" applyNumberFormat="1" applyFont="1" applyFill="1" applyBorder="1" applyAlignment="1">
      <alignment horizontal="right" vertical="center" wrapText="1"/>
    </xf>
    <xf numFmtId="166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2" fontId="49" fillId="0" borderId="32" xfId="5" applyNumberFormat="1" applyFont="1" applyFill="1" applyBorder="1" applyAlignment="1">
      <alignment horizontal="center" vertical="center" wrapText="1"/>
    </xf>
    <xf numFmtId="166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72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2" fontId="76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8" fontId="76" fillId="0" borderId="20" xfId="5" applyNumberFormat="1" applyFont="1" applyFill="1" applyBorder="1" applyAlignment="1">
      <alignment horizontal="right" vertical="center" wrapText="1"/>
    </xf>
    <xf numFmtId="166" fontId="49" fillId="0" borderId="1" xfId="5" applyNumberFormat="1" applyFont="1" applyFill="1" applyBorder="1" applyAlignment="1">
      <alignment horizontal="left" vertical="center" wrapText="1"/>
    </xf>
    <xf numFmtId="168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6" fontId="50" fillId="0" borderId="1" xfId="5" applyNumberFormat="1" applyFont="1" applyFill="1" applyBorder="1" applyAlignment="1">
      <alignment horizontal="left" vertical="center" wrapText="1"/>
    </xf>
    <xf numFmtId="168" fontId="17" fillId="0" borderId="9" xfId="5" applyNumberFormat="1" applyFont="1" applyFill="1" applyBorder="1" applyAlignment="1">
      <alignment horizontal="right" vertical="center"/>
    </xf>
    <xf numFmtId="172" fontId="50" fillId="0" borderId="1" xfId="5" applyNumberFormat="1" applyFont="1" applyFill="1" applyBorder="1" applyAlignment="1">
      <alignment horizontal="left" vertical="center" wrapText="1" indent="2"/>
    </xf>
    <xf numFmtId="166" fontId="50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 indent="2"/>
    </xf>
    <xf numFmtId="167" fontId="17" fillId="0" borderId="9" xfId="34" applyNumberFormat="1" applyFont="1" applyFill="1" applyBorder="1" applyAlignment="1">
      <alignment horizontal="right" vertical="center" wrapText="1"/>
    </xf>
    <xf numFmtId="168" fontId="39" fillId="0" borderId="14" xfId="5" applyNumberFormat="1" applyFont="1" applyFill="1" applyBorder="1" applyAlignment="1">
      <alignment horizontal="right" vertical="center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2" fontId="50" fillId="0" borderId="23" xfId="5" applyNumberFormat="1" applyFont="1" applyFill="1" applyBorder="1" applyAlignment="1">
      <alignment horizontal="left" vertical="center" wrapText="1" indent="2"/>
    </xf>
    <xf numFmtId="166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8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2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8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69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2" fontId="76" fillId="0" borderId="7" xfId="5" applyNumberFormat="1" applyFont="1" applyFill="1" applyBorder="1" applyAlignment="1">
      <alignment vertical="center" wrapText="1"/>
    </xf>
    <xf numFmtId="166" fontId="49" fillId="0" borderId="1" xfId="5" applyNumberFormat="1" applyFont="1" applyFill="1" applyBorder="1" applyAlignment="1">
      <alignment horizontal="left" vertical="center" wrapText="1" indent="2"/>
    </xf>
    <xf numFmtId="168" fontId="76" fillId="0" borderId="9" xfId="5" applyNumberFormat="1" applyFont="1" applyFill="1" applyBorder="1" applyAlignment="1">
      <alignment horizontal="right" vertical="center" wrapText="1"/>
    </xf>
    <xf numFmtId="172" fontId="50" fillId="0" borderId="7" xfId="5" applyNumberFormat="1" applyFont="1" applyFill="1" applyBorder="1" applyAlignment="1">
      <alignment vertical="center" wrapText="1"/>
    </xf>
    <xf numFmtId="172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2" fontId="76" fillId="0" borderId="1" xfId="5" applyNumberFormat="1" applyFont="1" applyFill="1" applyBorder="1" applyAlignment="1">
      <alignment horizontal="left" vertical="top" wrapText="1"/>
    </xf>
    <xf numFmtId="166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2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2" fontId="76" fillId="0" borderId="1" xfId="12" applyNumberFormat="1" applyFont="1" applyFill="1" applyBorder="1" applyAlignment="1" applyProtection="1">
      <alignment horizontal="left" vertical="center" wrapText="1"/>
    </xf>
    <xf numFmtId="166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2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3" fontId="50" fillId="0" borderId="1" xfId="5" applyNumberFormat="1" applyFont="1" applyFill="1" applyBorder="1" applyAlignment="1">
      <alignment horizontal="left" vertical="center" wrapText="1" indent="2"/>
    </xf>
    <xf numFmtId="168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2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6" fontId="50" fillId="0" borderId="23" xfId="5" applyNumberFormat="1" applyFont="1" applyFill="1" applyBorder="1" applyAlignment="1">
      <alignment horizontal="left" vertical="center" wrapText="1"/>
    </xf>
    <xf numFmtId="168" fontId="17" fillId="0" borderId="34" xfId="5" applyNumberFormat="1" applyFont="1" applyFill="1" applyBorder="1" applyAlignment="1">
      <alignment horizontal="right" vertical="center" wrapText="1"/>
    </xf>
    <xf numFmtId="172" fontId="50" fillId="0" borderId="4" xfId="5" applyNumberFormat="1" applyFont="1" applyFill="1" applyBorder="1" applyAlignment="1">
      <alignment horizontal="left" vertical="center" wrapText="1" indent="2"/>
    </xf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8" fontId="17" fillId="0" borderId="3" xfId="5" applyNumberFormat="1" applyFont="1" applyFill="1" applyBorder="1" applyAlignment="1">
      <alignment horizontal="right" vertical="center" wrapText="1"/>
    </xf>
    <xf numFmtId="168" fontId="78" fillId="0" borderId="2" xfId="5" applyNumberFormat="1" applyFont="1" applyFill="1" applyBorder="1" applyAlignment="1">
      <alignment horizontal="right" vertical="center" wrapText="1"/>
    </xf>
    <xf numFmtId="168" fontId="57" fillId="0" borderId="1" xfId="5" applyNumberFormat="1" applyFont="1" applyFill="1" applyBorder="1" applyAlignment="1">
      <alignment horizontal="right" vertical="center" wrapText="1"/>
    </xf>
    <xf numFmtId="168" fontId="57" fillId="0" borderId="23" xfId="5" applyNumberFormat="1" applyFont="1" applyFill="1" applyBorder="1" applyAlignment="1">
      <alignment horizontal="right" vertical="center" wrapText="1"/>
    </xf>
    <xf numFmtId="168" fontId="57" fillId="0" borderId="36" xfId="5" applyNumberFormat="1" applyFont="1" applyFill="1" applyBorder="1" applyAlignment="1">
      <alignment horizontal="right" vertical="center" wrapText="1"/>
    </xf>
    <xf numFmtId="168" fontId="78" fillId="0" borderId="32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174" fontId="76" fillId="0" borderId="1" xfId="5" applyNumberFormat="1" applyFont="1" applyFill="1" applyBorder="1" applyAlignment="1">
      <alignment horizontal="right" vertical="center" wrapText="1"/>
    </xf>
    <xf numFmtId="174" fontId="17" fillId="0" borderId="1" xfId="5" applyNumberFormat="1" applyFont="1" applyFill="1" applyBorder="1" applyAlignment="1">
      <alignment horizontal="right" vertical="center" wrapText="1"/>
    </xf>
    <xf numFmtId="168" fontId="57" fillId="0" borderId="4" xfId="5" applyNumberFormat="1" applyFont="1" applyFill="1" applyBorder="1" applyAlignment="1">
      <alignment horizontal="right" vertical="center" wrapText="1"/>
    </xf>
    <xf numFmtId="166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8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69" fontId="25" fillId="0" borderId="1" xfId="40" applyNumberFormat="1" applyFont="1" applyFill="1" applyBorder="1" applyAlignment="1">
      <alignment horizontal="center" vertical="top" wrapText="1"/>
    </xf>
    <xf numFmtId="168" fontId="15" fillId="0" borderId="1" xfId="24" applyNumberFormat="1" applyFont="1" applyFill="1" applyBorder="1" applyAlignment="1">
      <alignment horizontal="center" vertical="center"/>
    </xf>
    <xf numFmtId="166" fontId="21" fillId="0" borderId="1" xfId="24" applyNumberFormat="1" applyFont="1" applyFill="1" applyBorder="1" applyAlignment="1">
      <alignment horizontal="right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8" fontId="11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8" fontId="26" fillId="0" borderId="1" xfId="24" applyNumberFormat="1" applyFont="1" applyFill="1" applyBorder="1" applyAlignment="1">
      <alignment horizontal="right" vertical="center" wrapText="1"/>
    </xf>
    <xf numFmtId="168" fontId="10" fillId="0" borderId="7" xfId="24" applyNumberFormat="1" applyFont="1" applyFill="1" applyBorder="1" applyAlignment="1">
      <alignment horizontal="right" vertical="center" wrapText="1"/>
    </xf>
    <xf numFmtId="166" fontId="29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168" fontId="10" fillId="0" borderId="1" xfId="24" applyNumberFormat="1" applyFont="1" applyFill="1" applyBorder="1" applyAlignment="1">
      <alignment vertical="center" wrapText="1"/>
    </xf>
    <xf numFmtId="168" fontId="10" fillId="0" borderId="7" xfId="24" applyNumberFormat="1" applyFont="1" applyFill="1" applyBorder="1" applyAlignment="1">
      <alignment vertical="center" wrapText="1"/>
    </xf>
    <xf numFmtId="168" fontId="8" fillId="0" borderId="0" xfId="24" applyNumberFormat="1" applyFont="1" applyFill="1" applyAlignment="1">
      <alignment horizontal="right"/>
    </xf>
    <xf numFmtId="166" fontId="15" fillId="0" borderId="26" xfId="24" applyNumberFormat="1" applyFont="1" applyFill="1" applyBorder="1" applyAlignment="1">
      <alignment horizontal="center" vertical="center"/>
    </xf>
    <xf numFmtId="166" fontId="8" fillId="0" borderId="27" xfId="24" applyNumberFormat="1" applyFont="1" applyFill="1" applyBorder="1" applyAlignment="1">
      <alignment horizontal="right"/>
    </xf>
    <xf numFmtId="169" fontId="25" fillId="0" borderId="26" xfId="40" applyNumberFormat="1" applyFont="1" applyFill="1" applyBorder="1" applyAlignment="1">
      <alignment horizontal="center" vertical="top" wrapText="1"/>
    </xf>
    <xf numFmtId="168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8" fontId="15" fillId="0" borderId="7" xfId="24" applyNumberFormat="1" applyFont="1" applyFill="1" applyBorder="1" applyAlignment="1">
      <alignment horizontal="right" vertical="center"/>
    </xf>
    <xf numFmtId="166" fontId="8" fillId="0" borderId="0" xfId="24" applyNumberFormat="1" applyFont="1" applyFill="1" applyBorder="1" applyAlignment="1">
      <alignment horizontal="right"/>
    </xf>
    <xf numFmtId="167" fontId="15" fillId="0" borderId="7" xfId="24" applyNumberFormat="1" applyFont="1" applyFill="1" applyBorder="1" applyAlignment="1">
      <alignment horizontal="center" vertical="center"/>
    </xf>
    <xf numFmtId="168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7" fontId="15" fillId="0" borderId="7" xfId="24" applyNumberFormat="1" applyFont="1" applyFill="1" applyBorder="1" applyAlignment="1">
      <alignment vertical="center" wrapText="1"/>
    </xf>
    <xf numFmtId="168" fontId="15" fillId="0" borderId="6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8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7" fontId="11" fillId="0" borderId="1" xfId="9" applyNumberFormat="1" applyFont="1" applyFill="1" applyBorder="1" applyAlignment="1">
      <alignment horizontal="left" vertical="center" wrapText="1"/>
    </xf>
    <xf numFmtId="168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165" fontId="15" fillId="0" borderId="2" xfId="24" applyFont="1" applyFill="1" applyBorder="1" applyAlignment="1">
      <alignment horizontal="right" vertical="center" wrapText="1"/>
    </xf>
    <xf numFmtId="166" fontId="15" fillId="0" borderId="2" xfId="24" applyNumberFormat="1" applyFont="1" applyFill="1" applyBorder="1" applyAlignment="1">
      <alignment horizontal="right" vertical="center" wrapText="1"/>
    </xf>
    <xf numFmtId="168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7" fontId="8" fillId="0" borderId="1" xfId="24" applyNumberFormat="1" applyFont="1" applyFill="1" applyBorder="1" applyAlignment="1">
      <alignment vertical="center"/>
    </xf>
    <xf numFmtId="166" fontId="11" fillId="0" borderId="1" xfId="24" applyNumberFormat="1" applyFont="1" applyFill="1" applyBorder="1" applyAlignment="1">
      <alignment vertical="center"/>
    </xf>
    <xf numFmtId="169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6" fontId="10" fillId="0" borderId="0" xfId="2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7" fontId="15" fillId="0" borderId="9" xfId="24" applyNumberFormat="1" applyFont="1" applyFill="1" applyBorder="1" applyAlignment="1">
      <alignment horizontal="right" vertical="center" wrapText="1"/>
    </xf>
    <xf numFmtId="166" fontId="10" fillId="0" borderId="10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6" fontId="12" fillId="0" borderId="2" xfId="24" applyNumberFormat="1" applyFont="1" applyFill="1" applyBorder="1" applyAlignment="1">
      <alignment horizontal="right"/>
    </xf>
    <xf numFmtId="166" fontId="8" fillId="0" borderId="2" xfId="24" applyNumberFormat="1" applyFont="1" applyFill="1" applyBorder="1" applyAlignment="1">
      <alignment horizontal="right"/>
    </xf>
    <xf numFmtId="166" fontId="13" fillId="0" borderId="2" xfId="24" applyNumberFormat="1" applyFont="1" applyFill="1" applyBorder="1" applyAlignment="1">
      <alignment horizontal="right"/>
    </xf>
    <xf numFmtId="168" fontId="12" fillId="0" borderId="20" xfId="24" applyNumberFormat="1" applyFont="1" applyFill="1" applyBorder="1" applyAlignment="1">
      <alignment horizontal="right"/>
    </xf>
    <xf numFmtId="166" fontId="8" fillId="0" borderId="1" xfId="24" applyNumberFormat="1" applyFont="1" applyFill="1" applyBorder="1" applyAlignment="1">
      <alignment horizontal="right"/>
    </xf>
    <xf numFmtId="166" fontId="10" fillId="0" borderId="4" xfId="24" applyNumberFormat="1" applyFont="1" applyFill="1" applyBorder="1" applyAlignment="1">
      <alignment horizontal="right" vertical="center" wrapText="1"/>
    </xf>
    <xf numFmtId="166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2" fontId="49" fillId="0" borderId="26" xfId="5" applyNumberFormat="1" applyFont="1" applyFill="1" applyBorder="1" applyAlignment="1">
      <alignment horizontal="center" vertical="center" wrapText="1"/>
    </xf>
    <xf numFmtId="166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8" fontId="49" fillId="0" borderId="26" xfId="5" applyNumberFormat="1" applyFont="1" applyFill="1" applyBorder="1" applyAlignment="1">
      <alignment horizontal="center" vertical="center" wrapText="1"/>
    </xf>
    <xf numFmtId="168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2" fontId="12" fillId="0" borderId="23" xfId="5" applyNumberFormat="1" applyFont="1" applyFill="1" applyBorder="1" applyAlignment="1">
      <alignment horizontal="left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168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8" fontId="49" fillId="0" borderId="62" xfId="5" applyNumberFormat="1" applyFont="1" applyFill="1" applyBorder="1" applyAlignment="1">
      <alignment horizontal="right" vertical="center" wrapText="1"/>
    </xf>
    <xf numFmtId="168" fontId="49" fillId="0" borderId="63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11" fillId="0" borderId="9" xfId="3" applyNumberFormat="1" applyFont="1" applyFill="1" applyBorder="1"/>
    <xf numFmtId="172" fontId="49" fillId="0" borderId="2" xfId="5" applyNumberFormat="1" applyFont="1" applyFill="1" applyBorder="1" applyAlignment="1">
      <alignment horizontal="left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8" fontId="50" fillId="0" borderId="23" xfId="5" applyNumberFormat="1" applyFont="1" applyFill="1" applyBorder="1" applyAlignment="1">
      <alignment horizontal="right" vertical="center"/>
    </xf>
    <xf numFmtId="168" fontId="50" fillId="0" borderId="34" xfId="5" applyNumberFormat="1" applyFont="1" applyFill="1" applyBorder="1" applyAlignment="1">
      <alignment horizontal="right" vertical="center"/>
    </xf>
    <xf numFmtId="172" fontId="49" fillId="0" borderId="32" xfId="5" applyNumberFormat="1" applyFont="1" applyFill="1" applyBorder="1" applyAlignment="1">
      <alignment horizontal="left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168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3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168" fontId="79" fillId="0" borderId="1" xfId="14" applyNumberFormat="1" applyFont="1" applyFill="1" applyBorder="1" applyAlignment="1">
      <alignment horizontal="right" vertical="center"/>
    </xf>
    <xf numFmtId="168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8" fontId="70" fillId="0" borderId="1" xfId="14" applyNumberFormat="1" applyFont="1" applyFill="1" applyBorder="1" applyAlignment="1">
      <alignment horizontal="right" vertical="center"/>
    </xf>
    <xf numFmtId="168" fontId="70" fillId="0" borderId="9" xfId="14" applyNumberFormat="1" applyFont="1" applyFill="1" applyBorder="1" applyAlignment="1">
      <alignment horizontal="right" vertical="center"/>
    </xf>
    <xf numFmtId="172" fontId="50" fillId="0" borderId="2" xfId="5" applyNumberFormat="1" applyFont="1" applyFill="1" applyBorder="1" applyAlignment="1">
      <alignment horizontal="left" vertical="center" wrapText="1" indent="2"/>
    </xf>
    <xf numFmtId="166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8" fontId="50" fillId="0" borderId="4" xfId="5" applyNumberFormat="1" applyFont="1" applyFill="1" applyBorder="1" applyAlignment="1">
      <alignment horizontal="right" vertical="center" wrapText="1"/>
    </xf>
    <xf numFmtId="168" fontId="81" fillId="0" borderId="4" xfId="5" applyNumberFormat="1" applyFont="1" applyFill="1" applyBorder="1" applyAlignment="1">
      <alignment horizontal="right" vertical="center" wrapText="1"/>
    </xf>
    <xf numFmtId="168" fontId="50" fillId="0" borderId="3" xfId="5" applyNumberFormat="1" applyFont="1" applyFill="1" applyBorder="1" applyAlignment="1">
      <alignment horizontal="right" vertical="center" wrapText="1"/>
    </xf>
    <xf numFmtId="172" fontId="50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8" fontId="50" fillId="0" borderId="23" xfId="5" applyNumberFormat="1" applyFont="1" applyFill="1" applyBorder="1" applyAlignment="1">
      <alignment horizontal="right" vertical="center" wrapText="1"/>
    </xf>
    <xf numFmtId="168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6" fontId="11" fillId="0" borderId="0" xfId="24" applyNumberFormat="1" applyFont="1" applyFill="1" applyAlignment="1">
      <alignment horizontal="right"/>
    </xf>
    <xf numFmtId="0" fontId="6" fillId="0" borderId="0" xfId="39" applyFill="1"/>
    <xf numFmtId="168" fontId="14" fillId="0" borderId="7" xfId="3" applyNumberFormat="1" applyFont="1" applyFill="1" applyBorder="1" applyAlignment="1">
      <alignment horizontal="center" vertical="center" wrapText="1"/>
    </xf>
    <xf numFmtId="166" fontId="15" fillId="0" borderId="13" xfId="34" applyNumberFormat="1" applyFont="1" applyFill="1" applyBorder="1" applyAlignment="1">
      <alignment horizontal="right" vertical="center" wrapText="1"/>
    </xf>
    <xf numFmtId="166" fontId="10" fillId="0" borderId="13" xfId="34" applyNumberFormat="1" applyFont="1" applyFill="1" applyBorder="1" applyAlignment="1">
      <alignment horizontal="right" vertical="center" wrapText="1"/>
    </xf>
    <xf numFmtId="166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6" fontId="11" fillId="0" borderId="1" xfId="3" applyNumberFormat="1" applyFont="1" applyFill="1" applyBorder="1" applyAlignment="1">
      <alignment horizontal="right" vertical="center" wrapText="1"/>
    </xf>
    <xf numFmtId="166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6" fontId="11" fillId="0" borderId="16" xfId="24" applyNumberFormat="1" applyFont="1" applyBorder="1" applyAlignment="1">
      <alignment horizontal="right" vertical="center"/>
    </xf>
    <xf numFmtId="166" fontId="11" fillId="0" borderId="0" xfId="24" applyNumberFormat="1" applyFont="1" applyBorder="1" applyAlignment="1">
      <alignment horizontal="right"/>
    </xf>
    <xf numFmtId="166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8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79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8" fontId="13" fillId="0" borderId="0" xfId="3" applyNumberFormat="1" applyFont="1" applyFill="1"/>
    <xf numFmtId="165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8" fontId="94" fillId="0" borderId="1" xfId="39" applyNumberFormat="1" applyFont="1" applyFill="1" applyBorder="1"/>
    <xf numFmtId="168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6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6" fontId="8" fillId="0" borderId="23" xfId="24" applyNumberFormat="1" applyFont="1" applyFill="1" applyBorder="1" applyAlignment="1">
      <alignment horizontal="right"/>
    </xf>
    <xf numFmtId="166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6" fontId="15" fillId="0" borderId="7" xfId="24" applyNumberFormat="1" applyFont="1" applyFill="1" applyBorder="1" applyAlignment="1">
      <alignment horizontal="right" vertical="center" wrapText="1"/>
    </xf>
    <xf numFmtId="168" fontId="15" fillId="0" borderId="6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/>
    </xf>
    <xf numFmtId="168" fontId="12" fillId="0" borderId="1" xfId="24" applyNumberFormat="1" applyFont="1" applyFill="1" applyBorder="1" applyAlignment="1">
      <alignment horizontal="right"/>
    </xf>
    <xf numFmtId="167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8" fontId="14" fillId="0" borderId="59" xfId="3" applyNumberFormat="1" applyFont="1" applyFill="1" applyBorder="1" applyAlignment="1">
      <alignment horizontal="center" vertical="center" wrapText="1"/>
    </xf>
    <xf numFmtId="168" fontId="11" fillId="0" borderId="4" xfId="3" applyNumberFormat="1" applyFont="1" applyFill="1" applyBorder="1"/>
    <xf numFmtId="168" fontId="11" fillId="0" borderId="59" xfId="3" applyNumberFormat="1" applyFont="1" applyFill="1" applyBorder="1" applyAlignment="1">
      <alignment horizontal="right" vertical="center" wrapText="1"/>
    </xf>
    <xf numFmtId="174" fontId="10" fillId="0" borderId="59" xfId="24" applyNumberFormat="1" applyFont="1" applyFill="1" applyBorder="1" applyAlignment="1">
      <alignment horizontal="right" vertical="center" wrapText="1"/>
    </xf>
    <xf numFmtId="166" fontId="10" fillId="0" borderId="51" xfId="34" applyNumberFormat="1" applyFont="1" applyFill="1" applyBorder="1" applyAlignment="1">
      <alignment horizontal="right" vertical="center" wrapText="1"/>
    </xf>
    <xf numFmtId="168" fontId="11" fillId="0" borderId="4" xfId="24" applyNumberFormat="1" applyFont="1" applyFill="1" applyBorder="1" applyAlignment="1">
      <alignment horizontal="right"/>
    </xf>
    <xf numFmtId="168" fontId="11" fillId="0" borderId="3" xfId="24" applyNumberFormat="1" applyFont="1" applyFill="1" applyBorder="1" applyAlignment="1">
      <alignment horizontal="right"/>
    </xf>
    <xf numFmtId="172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8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2" fontId="57" fillId="0" borderId="1" xfId="5" applyNumberFormat="1" applyFont="1" applyFill="1" applyBorder="1" applyAlignment="1">
      <alignment horizontal="left" vertical="center" wrapText="1"/>
    </xf>
    <xf numFmtId="172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8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6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6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8" fontId="11" fillId="0" borderId="1" xfId="3" applyNumberFormat="1" applyFont="1" applyBorder="1" applyAlignment="1">
      <alignment horizontal="center" vertical="center"/>
    </xf>
    <xf numFmtId="168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2" fontId="11" fillId="0" borderId="1" xfId="5" applyNumberFormat="1" applyFont="1" applyFill="1" applyBorder="1" applyAlignment="1">
      <alignment horizontal="left" vertical="center" wrapText="1" indent="2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9" fontId="25" fillId="0" borderId="68" xfId="0" applyNumberFormat="1" applyFont="1" applyFill="1" applyBorder="1" applyAlignment="1">
      <alignment horizontal="center" vertical="top" wrapText="1"/>
    </xf>
    <xf numFmtId="167" fontId="15" fillId="0" borderId="13" xfId="34" applyNumberFormat="1" applyFont="1" applyFill="1" applyBorder="1" applyAlignment="1">
      <alignment horizontal="center" vertical="center"/>
    </xf>
    <xf numFmtId="167" fontId="10" fillId="0" borderId="13" xfId="34" applyNumberFormat="1" applyFont="1" applyFill="1" applyBorder="1" applyAlignment="1">
      <alignment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6" fontId="15" fillId="0" borderId="14" xfId="34" applyNumberFormat="1" applyFont="1" applyFill="1" applyBorder="1" applyAlignment="1">
      <alignment horizontal="right" vertical="center" wrapText="1"/>
    </xf>
    <xf numFmtId="168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6" fontId="12" fillId="0" borderId="14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74" fontId="10" fillId="0" borderId="13" xfId="24" applyNumberFormat="1" applyFont="1" applyFill="1" applyBorder="1" applyAlignment="1">
      <alignment horizontal="right" vertical="center" wrapText="1"/>
    </xf>
    <xf numFmtId="168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6" fontId="15" fillId="0" borderId="30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6" fontId="20" fillId="0" borderId="14" xfId="3" applyNumberFormat="1" applyFont="1" applyFill="1" applyBorder="1" applyAlignment="1">
      <alignment vertical="center"/>
    </xf>
    <xf numFmtId="167" fontId="8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horizontal="left" vertical="center" wrapText="1"/>
    </xf>
    <xf numFmtId="168" fontId="11" fillId="0" borderId="13" xfId="3" applyNumberFormat="1" applyFont="1" applyFill="1" applyBorder="1" applyAlignment="1">
      <alignment horizontal="right"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8" fontId="8" fillId="0" borderId="13" xfId="3" applyNumberFormat="1" applyFont="1" applyFill="1" applyBorder="1"/>
    <xf numFmtId="168" fontId="10" fillId="0" borderId="10" xfId="3" applyNumberFormat="1" applyFont="1" applyFill="1" applyBorder="1" applyAlignment="1">
      <alignment horizontal="right" vertical="center" wrapText="1"/>
    </xf>
    <xf numFmtId="168" fontId="11" fillId="0" borderId="14" xfId="3" applyNumberFormat="1" applyFont="1" applyFill="1" applyBorder="1" applyAlignment="1">
      <alignment horizontal="right" vertical="center"/>
    </xf>
    <xf numFmtId="166" fontId="13" fillId="0" borderId="30" xfId="34" applyNumberFormat="1" applyFont="1" applyFill="1" applyBorder="1" applyAlignment="1">
      <alignment horizontal="right"/>
    </xf>
    <xf numFmtId="166" fontId="8" fillId="0" borderId="14" xfId="34" applyNumberFormat="1" applyFont="1" applyFill="1" applyBorder="1" applyAlignment="1">
      <alignment horizontal="right"/>
    </xf>
    <xf numFmtId="174" fontId="10" fillId="0" borderId="14" xfId="24" applyNumberFormat="1" applyFont="1" applyFill="1" applyBorder="1" applyAlignment="1">
      <alignment horizontal="right" vertical="center" wrapText="1"/>
    </xf>
    <xf numFmtId="174" fontId="10" fillId="0" borderId="10" xfId="24" applyNumberFormat="1" applyFont="1" applyFill="1" applyBorder="1" applyAlignment="1">
      <alignment horizontal="right" vertical="center" wrapText="1"/>
    </xf>
    <xf numFmtId="166" fontId="15" fillId="0" borderId="6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center" vertical="center"/>
    </xf>
    <xf numFmtId="167" fontId="15" fillId="0" borderId="19" xfId="34" applyNumberFormat="1" applyFont="1" applyFill="1" applyBorder="1" applyAlignment="1">
      <alignment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95" fillId="0" borderId="19" xfId="34" applyNumberFormat="1" applyFont="1" applyFill="1" applyBorder="1" applyAlignment="1">
      <alignment horizontal="right" vertical="center" wrapText="1"/>
    </xf>
    <xf numFmtId="168" fontId="15" fillId="0" borderId="70" xfId="3" applyNumberFormat="1" applyFont="1" applyFill="1" applyBorder="1" applyAlignment="1">
      <alignment vertical="center" wrapText="1"/>
    </xf>
    <xf numFmtId="167" fontId="11" fillId="0" borderId="19" xfId="37" applyNumberFormat="1" applyFont="1" applyFill="1" applyBorder="1" applyAlignment="1">
      <alignment horizontal="lef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vertical="center" wrapText="1"/>
    </xf>
    <xf numFmtId="168" fontId="10" fillId="0" borderId="19" xfId="38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0" applyNumberFormat="1" applyFont="1" applyFill="1" applyBorder="1" applyAlignment="1">
      <alignment horizontal="right" vertical="center" wrapText="1"/>
    </xf>
    <xf numFmtId="168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8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1" applyNumberFormat="1" applyFont="1" applyFill="1" applyBorder="1" applyAlignment="1">
      <alignment horizontal="right" vertical="center" wrapText="1"/>
    </xf>
    <xf numFmtId="166" fontId="11" fillId="0" borderId="19" xfId="3" applyNumberFormat="1" applyFont="1" applyFill="1" applyBorder="1"/>
    <xf numFmtId="168" fontId="15" fillId="0" borderId="19" xfId="34" applyNumberFormat="1" applyFont="1" applyFill="1" applyBorder="1" applyAlignment="1">
      <alignment horizontal="right"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8" fontId="11" fillId="0" borderId="19" xfId="3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vertical="center" wrapText="1"/>
    </xf>
    <xf numFmtId="167" fontId="15" fillId="0" borderId="71" xfId="34" applyNumberFormat="1" applyFont="1" applyFill="1" applyBorder="1" applyAlignment="1">
      <alignment vertical="center" wrapText="1"/>
    </xf>
    <xf numFmtId="167" fontId="10" fillId="0" borderId="71" xfId="34" applyNumberFormat="1" applyFont="1" applyFill="1" applyBorder="1" applyAlignment="1">
      <alignment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/>
    </xf>
    <xf numFmtId="166" fontId="11" fillId="0" borderId="19" xfId="34" applyNumberFormat="1" applyFont="1" applyFill="1" applyBorder="1" applyAlignment="1">
      <alignment horizontal="right"/>
    </xf>
    <xf numFmtId="166" fontId="15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66" xfId="34" applyNumberFormat="1" applyFont="1" applyFill="1" applyBorder="1" applyAlignment="1">
      <alignment horizontal="right" vertical="center" wrapText="1"/>
    </xf>
    <xf numFmtId="166" fontId="15" fillId="0" borderId="68" xfId="34" applyNumberFormat="1" applyFont="1" applyFill="1" applyBorder="1" applyAlignment="1">
      <alignment horizontal="center" vertical="center"/>
    </xf>
    <xf numFmtId="168" fontId="15" fillId="0" borderId="13" xfId="34" applyNumberFormat="1" applyFont="1" applyFill="1" applyBorder="1" applyAlignment="1">
      <alignment horizontal="right" vertical="center"/>
    </xf>
    <xf numFmtId="167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7" applyNumberFormat="1" applyFont="1" applyFill="1" applyBorder="1" applyAlignment="1">
      <alignment horizontal="left" vertical="center" wrapText="1"/>
    </xf>
    <xf numFmtId="167" fontId="10" fillId="0" borderId="30" xfId="34" applyNumberFormat="1" applyFont="1" applyFill="1" applyBorder="1" applyAlignment="1">
      <alignment horizontal="right" vertical="center" wrapText="1"/>
    </xf>
    <xf numFmtId="168" fontId="10" fillId="0" borderId="14" xfId="38" applyNumberFormat="1" applyFont="1" applyFill="1" applyBorder="1" applyAlignment="1">
      <alignment horizontal="right" vertical="center" wrapText="1"/>
    </xf>
    <xf numFmtId="168" fontId="15" fillId="0" borderId="14" xfId="0" applyNumberFormat="1" applyFont="1" applyFill="1" applyBorder="1" applyAlignment="1">
      <alignment horizontal="right" vertical="center" wrapText="1"/>
    </xf>
    <xf numFmtId="168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1" applyNumberFormat="1" applyFont="1" applyFill="1" applyBorder="1" applyAlignment="1">
      <alignment horizontal="right"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6" fontId="11" fillId="0" borderId="14" xfId="3" applyNumberFormat="1" applyFont="1" applyFill="1" applyBorder="1"/>
    <xf numFmtId="168" fontId="15" fillId="0" borderId="14" xfId="34" applyNumberFormat="1" applyFont="1" applyFill="1" applyBorder="1" applyAlignment="1">
      <alignment horizontal="right" vertical="center" wrapText="1"/>
    </xf>
    <xf numFmtId="166" fontId="11" fillId="0" borderId="14" xfId="24" applyNumberFormat="1" applyFont="1" applyFill="1" applyBorder="1" applyAlignment="1">
      <alignment horizontal="right"/>
    </xf>
    <xf numFmtId="168" fontId="12" fillId="0" borderId="13" xfId="3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vertical="center" wrapText="1"/>
    </xf>
    <xf numFmtId="167" fontId="15" fillId="0" borderId="10" xfId="34" applyNumberFormat="1" applyFont="1" applyFill="1" applyBorder="1" applyAlignment="1">
      <alignment vertical="center" wrapText="1"/>
    </xf>
    <xf numFmtId="167" fontId="10" fillId="0" borderId="10" xfId="34" applyNumberFormat="1" applyFont="1" applyFill="1" applyBorder="1" applyAlignment="1">
      <alignment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/>
    </xf>
    <xf numFmtId="166" fontId="11" fillId="0" borderId="14" xfId="34" applyNumberFormat="1" applyFont="1" applyFill="1" applyBorder="1" applyAlignment="1">
      <alignment horizontal="right"/>
    </xf>
    <xf numFmtId="166" fontId="10" fillId="0" borderId="30" xfId="34" applyNumberFormat="1" applyFont="1" applyFill="1" applyBorder="1" applyAlignment="1">
      <alignment horizontal="right" vertical="center" wrapText="1"/>
    </xf>
    <xf numFmtId="166" fontId="12" fillId="0" borderId="30" xfId="34" applyNumberFormat="1" applyFont="1" applyFill="1" applyBorder="1" applyAlignment="1">
      <alignment horizontal="right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168" fontId="98" fillId="0" borderId="7" xfId="5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8" fontId="49" fillId="0" borderId="67" xfId="5" applyNumberFormat="1" applyFont="1" applyFill="1" applyBorder="1" applyAlignment="1">
      <alignment horizontal="center" vertical="center" wrapText="1"/>
    </xf>
    <xf numFmtId="168" fontId="76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/>
    </xf>
    <xf numFmtId="179" fontId="76" fillId="0" borderId="19" xfId="5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168" fontId="76" fillId="0" borderId="19" xfId="14" applyNumberFormat="1" applyFont="1" applyFill="1" applyBorder="1" applyAlignment="1">
      <alignment horizontal="right" vertical="center"/>
    </xf>
    <xf numFmtId="168" fontId="75" fillId="0" borderId="19" xfId="0" applyNumberFormat="1" applyFont="1" applyFill="1" applyBorder="1" applyAlignment="1">
      <alignment horizontal="right" vertical="center" wrapText="1"/>
    </xf>
    <xf numFmtId="168" fontId="17" fillId="0" borderId="19" xfId="14" applyNumberFormat="1" applyFont="1" applyFill="1" applyBorder="1" applyAlignment="1">
      <alignment horizontal="right" vertical="center"/>
    </xf>
    <xf numFmtId="168" fontId="97" fillId="0" borderId="19" xfId="5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 wrapText="1"/>
    </xf>
    <xf numFmtId="168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8" fontId="52" fillId="8" borderId="1" xfId="25" applyNumberFormat="1" applyFont="1" applyFill="1" applyBorder="1" applyAlignment="1"/>
    <xf numFmtId="168" fontId="52" fillId="8" borderId="1" xfId="7" applyNumberFormat="1" applyFont="1" applyFill="1" applyBorder="1" applyAlignment="1"/>
    <xf numFmtId="168" fontId="31" fillId="8" borderId="47" xfId="7" applyNumberFormat="1" applyFont="1" applyFill="1" applyBorder="1" applyAlignment="1">
      <alignment horizontal="right" vertical="distributed"/>
    </xf>
    <xf numFmtId="43" fontId="54" fillId="8" borderId="45" xfId="26" applyFont="1" applyFill="1" applyBorder="1" applyAlignment="1">
      <alignment horizontal="right"/>
    </xf>
    <xf numFmtId="168" fontId="52" fillId="8" borderId="47" xfId="7" applyNumberFormat="1" applyFont="1" applyFill="1" applyBorder="1" applyAlignment="1">
      <alignment horizontal="center"/>
    </xf>
    <xf numFmtId="176" fontId="31" fillId="8" borderId="47" xfId="26" applyNumberFormat="1" applyFont="1" applyFill="1" applyBorder="1" applyAlignment="1">
      <alignment horizontal="right" vertical="distributed"/>
    </xf>
    <xf numFmtId="167" fontId="8" fillId="0" borderId="0" xfId="1" applyNumberFormat="1" applyFont="1" applyFill="1" applyBorder="1"/>
    <xf numFmtId="0" fontId="8" fillId="8" borderId="0" xfId="3" applyFont="1" applyFill="1" applyBorder="1"/>
    <xf numFmtId="176" fontId="31" fillId="8" borderId="46" xfId="26" applyNumberFormat="1" applyFont="1" applyFill="1" applyBorder="1" applyAlignment="1">
      <alignment horizontal="right" vertical="distributed"/>
    </xf>
    <xf numFmtId="168" fontId="31" fillId="0" borderId="46" xfId="7" applyNumberFormat="1" applyFont="1" applyFill="1" applyBorder="1" applyAlignment="1">
      <alignment horizontal="right" vertical="distributed"/>
    </xf>
    <xf numFmtId="168" fontId="31" fillId="8" borderId="46" xfId="7" applyNumberFormat="1" applyFont="1" applyFill="1" applyBorder="1" applyAlignment="1">
      <alignment horizontal="right" vertical="distributed"/>
    </xf>
    <xf numFmtId="166" fontId="7" fillId="8" borderId="1" xfId="7" applyNumberFormat="1" applyFill="1" applyBorder="1" applyAlignment="1">
      <alignment horizontal="center" vertical="center"/>
    </xf>
    <xf numFmtId="178" fontId="7" fillId="10" borderId="1" xfId="7" applyNumberFormat="1" applyFill="1" applyBorder="1"/>
    <xf numFmtId="178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8" fontId="76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8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8" fontId="17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168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52" fillId="0" borderId="1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31" fillId="0" borderId="55" xfId="26" applyNumberFormat="1" applyFont="1" applyFill="1" applyBorder="1" applyAlignment="1">
      <alignment horizontal="distributed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4" fontId="52" fillId="8" borderId="1" xfId="7" applyNumberFormat="1" applyFont="1" applyFill="1" applyBorder="1" applyAlignment="1"/>
    <xf numFmtId="175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6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8" fontId="39" fillId="0" borderId="0" xfId="5" applyNumberFormat="1" applyFont="1" applyFill="1" applyBorder="1" applyAlignment="1">
      <alignment horizontal="right"/>
    </xf>
    <xf numFmtId="168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74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6" fontId="11" fillId="0" borderId="7" xfId="34" applyNumberFormat="1" applyFont="1" applyFill="1" applyBorder="1" applyAlignment="1">
      <alignment horizontal="left" vertical="center" wrapText="1"/>
    </xf>
    <xf numFmtId="166" fontId="12" fillId="0" borderId="18" xfId="34" applyNumberFormat="1" applyFont="1" applyFill="1" applyBorder="1" applyAlignment="1">
      <alignment horizontal="right"/>
    </xf>
    <xf numFmtId="166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8" fontId="14" fillId="0" borderId="4" xfId="3" applyNumberFormat="1" applyFont="1" applyFill="1" applyBorder="1" applyAlignment="1">
      <alignment horizontal="center" vertical="center" wrapText="1"/>
    </xf>
    <xf numFmtId="168" fontId="11" fillId="0" borderId="74" xfId="3" applyNumberFormat="1" applyFont="1" applyFill="1" applyBorder="1" applyAlignment="1">
      <alignment horizontal="right" vertical="center" wrapText="1"/>
    </xf>
    <xf numFmtId="167" fontId="10" fillId="0" borderId="59" xfId="34" applyNumberFormat="1" applyFont="1" applyFill="1" applyBorder="1" applyAlignment="1">
      <alignment horizontal="right" vertical="center" wrapText="1"/>
    </xf>
    <xf numFmtId="167" fontId="10" fillId="0" borderId="74" xfId="34" applyNumberFormat="1" applyFont="1" applyFill="1" applyBorder="1" applyAlignment="1">
      <alignment horizontal="right" vertical="center" wrapText="1"/>
    </xf>
    <xf numFmtId="167" fontId="8" fillId="0" borderId="0" xfId="1" applyNumberFormat="1" applyFont="1" applyFill="1"/>
    <xf numFmtId="166" fontId="96" fillId="0" borderId="19" xfId="34" applyNumberFormat="1" applyFont="1" applyFill="1" applyBorder="1" applyAlignment="1">
      <alignment horizontal="right" vertical="center" wrapText="1"/>
    </xf>
    <xf numFmtId="166" fontId="96" fillId="0" borderId="7" xfId="34" applyNumberFormat="1" applyFont="1" applyFill="1" applyBorder="1" applyAlignment="1">
      <alignment horizontal="right" vertical="center" wrapText="1"/>
    </xf>
    <xf numFmtId="166" fontId="96" fillId="0" borderId="1" xfId="34" applyNumberFormat="1" applyFont="1" applyFill="1" applyBorder="1" applyAlignment="1">
      <alignment horizontal="right" vertical="center" wrapText="1"/>
    </xf>
    <xf numFmtId="166" fontId="96" fillId="0" borderId="14" xfId="34" applyNumberFormat="1" applyFont="1" applyFill="1" applyBorder="1" applyAlignment="1">
      <alignment horizontal="right" vertical="center" wrapText="1"/>
    </xf>
    <xf numFmtId="43" fontId="54" fillId="0" borderId="45" xfId="26" applyFont="1" applyFill="1" applyBorder="1" applyAlignment="1">
      <alignment horizontal="right"/>
    </xf>
    <xf numFmtId="166" fontId="7" fillId="0" borderId="1" xfId="7" applyNumberFormat="1" applyFill="1" applyBorder="1" applyAlignment="1">
      <alignment horizontal="center" vertical="center"/>
    </xf>
    <xf numFmtId="166" fontId="7" fillId="0" borderId="7" xfId="7" applyNumberFormat="1" applyFill="1" applyBorder="1" applyAlignment="1">
      <alignment horizontal="center" vertical="center"/>
    </xf>
    <xf numFmtId="168" fontId="52" fillId="0" borderId="0" xfId="25" applyNumberFormat="1" applyFont="1" applyFill="1" applyBorder="1" applyAlignment="1"/>
    <xf numFmtId="168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66" fontId="100" fillId="7" borderId="5" xfId="5" applyNumberFormat="1" applyFont="1" applyFill="1" applyBorder="1" applyAlignment="1">
      <alignment horizontal="left" vertical="center" wrapText="1"/>
    </xf>
    <xf numFmtId="166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4" fontId="100" fillId="7" borderId="4" xfId="5" applyNumberFormat="1" applyFont="1" applyFill="1" applyBorder="1" applyAlignment="1">
      <alignment horizontal="right" vertical="center"/>
    </xf>
    <xf numFmtId="168" fontId="101" fillId="7" borderId="4" xfId="43" applyNumberFormat="1" applyFont="1" applyFill="1" applyBorder="1" applyAlignment="1">
      <alignment horizontal="right" vertical="center" wrapText="1"/>
    </xf>
    <xf numFmtId="168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6" fontId="31" fillId="0" borderId="0" xfId="24" applyNumberFormat="1" applyFont="1" applyFill="1" applyAlignment="1">
      <alignment horizontal="right"/>
    </xf>
    <xf numFmtId="166" fontId="31" fillId="0" borderId="52" xfId="0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8" fontId="35" fillId="0" borderId="0" xfId="7" applyNumberFormat="1" applyFont="1" applyFill="1" applyAlignment="1"/>
    <xf numFmtId="168" fontId="31" fillId="0" borderId="0" xfId="9" applyNumberFormat="1" applyFont="1" applyFill="1" applyAlignment="1">
      <alignment horizontal="right" vertical="center"/>
    </xf>
    <xf numFmtId="168" fontId="11" fillId="0" borderId="0" xfId="9" applyNumberFormat="1" applyFont="1" applyFill="1" applyAlignment="1">
      <alignment vertical="center"/>
    </xf>
    <xf numFmtId="168" fontId="13" fillId="0" borderId="0" xfId="24" applyNumberFormat="1" applyFont="1" applyFill="1" applyAlignment="1">
      <alignment horizontal="center" vertical="center"/>
    </xf>
    <xf numFmtId="168" fontId="13" fillId="0" borderId="0" xfId="24" applyNumberFormat="1" applyFont="1" applyFill="1"/>
    <xf numFmtId="168" fontId="13" fillId="0" borderId="0" xfId="3" applyNumberFormat="1" applyFont="1" applyFill="1" applyBorder="1" applyAlignment="1">
      <alignment horizontal="center"/>
    </xf>
    <xf numFmtId="177" fontId="8" fillId="0" borderId="0" xfId="46" applyNumberFormat="1" applyFont="1" applyFill="1" applyAlignment="1">
      <alignment horizontal="right"/>
    </xf>
    <xf numFmtId="176" fontId="8" fillId="0" borderId="0" xfId="46" applyNumberFormat="1" applyFont="1" applyFill="1"/>
    <xf numFmtId="177" fontId="8" fillId="0" borderId="0" xfId="46" applyNumberFormat="1" applyFont="1" applyFill="1"/>
    <xf numFmtId="168" fontId="50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0" fontId="8" fillId="0" borderId="0" xfId="3" applyNumberFormat="1" applyFont="1" applyFill="1"/>
    <xf numFmtId="168" fontId="85" fillId="0" borderId="0" xfId="3" applyNumberFormat="1" applyFont="1" applyFill="1"/>
    <xf numFmtId="168" fontId="17" fillId="0" borderId="19" xfId="34" applyNumberFormat="1" applyFont="1" applyFill="1" applyBorder="1" applyAlignment="1">
      <alignment horizontal="right" vertical="center" wrapText="1"/>
    </xf>
    <xf numFmtId="168" fontId="47" fillId="0" borderId="0" xfId="3" applyNumberFormat="1" applyFont="1" applyFill="1"/>
    <xf numFmtId="168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2" fontId="76" fillId="0" borderId="36" xfId="5" applyNumberFormat="1" applyFont="1" applyFill="1" applyBorder="1" applyAlignment="1">
      <alignment horizontal="left" vertical="center" wrapText="1"/>
    </xf>
    <xf numFmtId="166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6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8" fontId="76" fillId="0" borderId="69" xfId="5" applyNumberFormat="1" applyFont="1" applyFill="1" applyBorder="1" applyAlignment="1">
      <alignment horizontal="right" vertical="center"/>
    </xf>
    <xf numFmtId="168" fontId="41" fillId="0" borderId="28" xfId="5" applyNumberFormat="1" applyFont="1" applyFill="1" applyBorder="1" applyAlignment="1">
      <alignment horizontal="right" vertical="center"/>
    </xf>
    <xf numFmtId="168" fontId="41" fillId="0" borderId="26" xfId="5" applyNumberFormat="1" applyFont="1" applyFill="1" applyBorder="1" applyAlignment="1">
      <alignment horizontal="right" vertical="center"/>
    </xf>
    <xf numFmtId="168" fontId="8" fillId="0" borderId="27" xfId="3" applyNumberFormat="1" applyFont="1" applyFill="1" applyBorder="1"/>
    <xf numFmtId="168" fontId="76" fillId="0" borderId="25" xfId="5" applyNumberFormat="1" applyFont="1" applyFill="1" applyBorder="1" applyAlignment="1">
      <alignment horizontal="right" vertical="center"/>
    </xf>
    <xf numFmtId="181" fontId="8" fillId="0" borderId="0" xfId="3" applyNumberFormat="1" applyFont="1" applyFill="1"/>
    <xf numFmtId="168" fontId="8" fillId="0" borderId="0" xfId="3" applyNumberFormat="1" applyFont="1" applyFill="1" applyBorder="1"/>
    <xf numFmtId="168" fontId="47" fillId="0" borderId="0" xfId="3" applyNumberFormat="1" applyFont="1" applyFill="1" applyBorder="1"/>
    <xf numFmtId="168" fontId="13" fillId="0" borderId="0" xfId="3" applyNumberFormat="1" applyFont="1" applyFill="1" applyBorder="1"/>
    <xf numFmtId="167" fontId="8" fillId="0" borderId="0" xfId="24" applyNumberFormat="1" applyFont="1" applyFill="1"/>
    <xf numFmtId="168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8" fontId="75" fillId="0" borderId="19" xfId="9" applyNumberFormat="1" applyFont="1" applyFill="1" applyBorder="1" applyAlignment="1">
      <alignment horizontal="right" vertical="center" wrapText="1"/>
    </xf>
    <xf numFmtId="168" fontId="75" fillId="0" borderId="64" xfId="9" applyNumberFormat="1" applyFont="1" applyFill="1" applyBorder="1" applyAlignment="1">
      <alignment horizontal="right" vertical="center" wrapText="1"/>
    </xf>
    <xf numFmtId="171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2" fontId="77" fillId="0" borderId="23" xfId="5" applyNumberFormat="1" applyFont="1" applyFill="1" applyBorder="1" applyAlignment="1">
      <alignment vertical="center" wrapText="1"/>
    </xf>
    <xf numFmtId="172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8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2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2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8" fontId="99" fillId="0" borderId="0" xfId="3" applyNumberFormat="1" applyFont="1" applyFill="1" applyBorder="1"/>
    <xf numFmtId="168" fontId="78" fillId="0" borderId="20" xfId="5" applyNumberFormat="1" applyFont="1" applyFill="1" applyBorder="1" applyAlignment="1">
      <alignment horizontal="right" vertical="center" wrapText="1"/>
    </xf>
    <xf numFmtId="168" fontId="57" fillId="0" borderId="9" xfId="5" applyNumberFormat="1" applyFont="1" applyFill="1" applyBorder="1" applyAlignment="1">
      <alignment horizontal="right" vertical="center" wrapText="1"/>
    </xf>
    <xf numFmtId="168" fontId="57" fillId="0" borderId="34" xfId="5" applyNumberFormat="1" applyFont="1" applyFill="1" applyBorder="1" applyAlignment="1">
      <alignment horizontal="right" vertical="center" wrapText="1"/>
    </xf>
    <xf numFmtId="168" fontId="57" fillId="0" borderId="37" xfId="5" applyNumberFormat="1" applyFont="1" applyFill="1" applyBorder="1" applyAlignment="1">
      <alignment horizontal="righ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68" fontId="78" fillId="0" borderId="9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8" fontId="57" fillId="0" borderId="3" xfId="5" applyNumberFormat="1" applyFont="1" applyFill="1" applyBorder="1" applyAlignment="1">
      <alignment horizontal="right" vertical="center" wrapText="1"/>
    </xf>
    <xf numFmtId="168" fontId="17" fillId="0" borderId="70" xfId="34" applyNumberFormat="1" applyFont="1" applyFill="1" applyBorder="1" applyAlignment="1">
      <alignment horizontal="right" vertical="center" wrapText="1"/>
    </xf>
    <xf numFmtId="168" fontId="39" fillId="0" borderId="65" xfId="5" applyNumberFormat="1" applyFont="1" applyFill="1" applyBorder="1" applyAlignment="1">
      <alignment horizontal="right" vertical="center"/>
    </xf>
    <xf numFmtId="168" fontId="17" fillId="0" borderId="34" xfId="34" applyNumberFormat="1" applyFont="1" applyFill="1" applyBorder="1" applyAlignment="1">
      <alignment horizontal="right" vertical="center" wrapText="1"/>
    </xf>
    <xf numFmtId="168" fontId="17" fillId="0" borderId="66" xfId="34" applyNumberFormat="1" applyFont="1" applyFill="1" applyBorder="1" applyAlignment="1">
      <alignment horizontal="right" vertical="center" wrapText="1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74" xfId="5" applyNumberFormat="1" applyFont="1" applyFill="1" applyBorder="1" applyAlignment="1">
      <alignment horizontal="right" vertical="center"/>
    </xf>
    <xf numFmtId="168" fontId="47" fillId="0" borderId="38" xfId="3" applyNumberFormat="1" applyFont="1" applyFill="1" applyBorder="1"/>
    <xf numFmtId="168" fontId="8" fillId="0" borderId="38" xfId="3" applyNumberFormat="1" applyFont="1" applyFill="1" applyBorder="1"/>
    <xf numFmtId="168" fontId="17" fillId="0" borderId="3" xfId="34" applyNumberFormat="1" applyFont="1" applyFill="1" applyBorder="1" applyAlignment="1">
      <alignment horizontal="right" vertical="center" wrapText="1"/>
    </xf>
    <xf numFmtId="176" fontId="8" fillId="0" borderId="0" xfId="46" applyNumberFormat="1" applyFont="1" applyFill="1" applyAlignment="1"/>
    <xf numFmtId="176" fontId="8" fillId="0" borderId="0" xfId="34" applyNumberFormat="1" applyFont="1" applyFill="1" applyAlignment="1">
      <alignment horizontal="right"/>
    </xf>
    <xf numFmtId="176" fontId="35" fillId="0" borderId="0" xfId="46" applyNumberFormat="1" applyFont="1" applyFill="1" applyAlignment="1"/>
    <xf numFmtId="176" fontId="35" fillId="0" borderId="0" xfId="7" applyNumberFormat="1" applyFont="1" applyFill="1" applyAlignment="1">
      <alignment horizontal="right"/>
    </xf>
    <xf numFmtId="176" fontId="35" fillId="0" borderId="0" xfId="7" applyNumberFormat="1" applyFont="1" applyFill="1" applyAlignment="1"/>
    <xf numFmtId="176" fontId="8" fillId="0" borderId="0" xfId="3" applyNumberFormat="1" applyFont="1" applyFill="1" applyAlignment="1">
      <alignment horizontal="center"/>
    </xf>
    <xf numFmtId="176" fontId="31" fillId="0" borderId="0" xfId="46" applyNumberFormat="1" applyFont="1" applyFill="1" applyAlignment="1">
      <alignment vertical="center"/>
    </xf>
    <xf numFmtId="176" fontId="31" fillId="0" borderId="0" xfId="3" applyNumberFormat="1" applyFont="1" applyFill="1" applyAlignment="1">
      <alignment horizontal="right" vertical="center"/>
    </xf>
    <xf numFmtId="176" fontId="36" fillId="0" borderId="0" xfId="9" applyNumberFormat="1" applyFont="1" applyFill="1" applyAlignment="1">
      <alignment vertical="center"/>
    </xf>
    <xf numFmtId="176" fontId="8" fillId="0" borderId="0" xfId="46" applyNumberFormat="1" applyFont="1" applyFill="1" applyAlignment="1">
      <alignment vertical="center"/>
    </xf>
    <xf numFmtId="176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71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/>
    <xf numFmtId="176" fontId="8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69" fontId="25" fillId="0" borderId="1" xfId="9" applyNumberFormat="1" applyFont="1" applyFill="1" applyBorder="1" applyAlignment="1">
      <alignment horizontal="center" vertical="top" wrapText="1"/>
    </xf>
    <xf numFmtId="176" fontId="15" fillId="0" borderId="1" xfId="46" applyNumberFormat="1" applyFont="1" applyFill="1" applyBorder="1" applyAlignment="1">
      <alignment vertical="center"/>
    </xf>
    <xf numFmtId="176" fontId="15" fillId="0" borderId="1" xfId="34" applyNumberFormat="1" applyFont="1" applyFill="1" applyBorder="1" applyAlignment="1">
      <alignment horizontal="center" vertical="center"/>
    </xf>
    <xf numFmtId="176" fontId="15" fillId="0" borderId="1" xfId="34" applyNumberFormat="1" applyFont="1" applyFill="1" applyBorder="1" applyAlignment="1">
      <alignment horizontal="right" vertical="center"/>
    </xf>
    <xf numFmtId="176" fontId="21" fillId="0" borderId="1" xfId="46" applyNumberFormat="1" applyFont="1" applyFill="1" applyBorder="1" applyAlignment="1">
      <alignment vertical="center" wrapText="1"/>
    </xf>
    <xf numFmtId="176" fontId="2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15" fillId="0" borderId="1" xfId="46" applyNumberFormat="1" applyFont="1" applyFill="1" applyBorder="1" applyAlignment="1">
      <alignment vertical="center" wrapText="1"/>
    </xf>
    <xf numFmtId="176" fontId="1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5" fillId="0" borderId="1" xfId="3" applyNumberFormat="1" applyFont="1" applyFill="1" applyBorder="1" applyAlignment="1">
      <alignment vertical="center" wrapText="1"/>
    </xf>
    <xf numFmtId="176" fontId="15" fillId="0" borderId="1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0" fillId="0" borderId="1" xfId="3" applyNumberFormat="1" applyFont="1" applyFill="1" applyBorder="1" applyAlignment="1">
      <alignment vertical="center" wrapText="1"/>
    </xf>
    <xf numFmtId="176" fontId="10" fillId="0" borderId="1" xfId="3" applyNumberFormat="1" applyFont="1" applyFill="1" applyBorder="1" applyAlignment="1">
      <alignment horizontal="right" vertical="center" wrapText="1"/>
    </xf>
    <xf numFmtId="176" fontId="10" fillId="0" borderId="18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6" fontId="10" fillId="0" borderId="15" xfId="46" applyNumberFormat="1" applyFont="1" applyFill="1" applyBorder="1" applyAlignment="1">
      <alignment vertical="center" wrapText="1"/>
    </xf>
    <xf numFmtId="176" fontId="10" fillId="0" borderId="15" xfId="34" applyNumberFormat="1" applyFont="1" applyFill="1" applyBorder="1" applyAlignment="1">
      <alignment horizontal="right" vertical="center" wrapText="1"/>
    </xf>
    <xf numFmtId="176" fontId="15" fillId="0" borderId="7" xfId="46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5" fillId="0" borderId="1" xfId="34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vertical="center" wrapText="1"/>
    </xf>
    <xf numFmtId="169" fontId="25" fillId="0" borderId="26" xfId="9" applyNumberFormat="1" applyFont="1" applyFill="1" applyBorder="1" applyAlignment="1">
      <alignment horizontal="center" vertical="top" wrapText="1"/>
    </xf>
    <xf numFmtId="169" fontId="25" fillId="0" borderId="68" xfId="9" applyNumberFormat="1" applyFont="1" applyFill="1" applyBorder="1" applyAlignment="1">
      <alignment horizontal="center" vertical="top" wrapText="1"/>
    </xf>
    <xf numFmtId="176" fontId="15" fillId="0" borderId="69" xfId="46" applyNumberFormat="1" applyFont="1" applyFill="1" applyBorder="1" applyAlignment="1">
      <alignment horizontal="center" vertical="center"/>
    </xf>
    <xf numFmtId="176" fontId="15" fillId="0" borderId="28" xfId="34" applyNumberFormat="1" applyFont="1" applyFill="1" applyBorder="1" applyAlignment="1">
      <alignment horizontal="center" vertical="center"/>
    </xf>
    <xf numFmtId="176" fontId="15" fillId="0" borderId="26" xfId="34" applyNumberFormat="1" applyFont="1" applyFill="1" applyBorder="1" applyAlignment="1">
      <alignment horizontal="center" vertical="center"/>
    </xf>
    <xf numFmtId="176" fontId="15" fillId="0" borderId="76" xfId="34" applyNumberFormat="1" applyFont="1" applyFill="1" applyBorder="1" applyAlignment="1">
      <alignment horizontal="right" vertical="center"/>
    </xf>
    <xf numFmtId="176" fontId="15" fillId="0" borderId="69" xfId="34" applyNumberFormat="1" applyFont="1" applyFill="1" applyBorder="1" applyAlignment="1">
      <alignment horizontal="right" vertical="center"/>
    </xf>
    <xf numFmtId="177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6" fontId="15" fillId="0" borderId="19" xfId="46" applyNumberFormat="1" applyFont="1" applyFill="1" applyBorder="1" applyAlignment="1">
      <alignment vertical="center"/>
    </xf>
    <xf numFmtId="176" fontId="15" fillId="0" borderId="7" xfId="34" applyNumberFormat="1" applyFont="1" applyFill="1" applyBorder="1" applyAlignment="1">
      <alignment horizontal="right" vertical="center"/>
    </xf>
    <xf numFmtId="176" fontId="15" fillId="0" borderId="13" xfId="34" applyNumberFormat="1" applyFont="1" applyFill="1" applyBorder="1" applyAlignment="1">
      <alignment horizontal="right" vertical="center"/>
    </xf>
    <xf numFmtId="176" fontId="15" fillId="0" borderId="9" xfId="34" applyNumberFormat="1" applyFont="1" applyFill="1" applyBorder="1" applyAlignment="1">
      <alignment horizontal="right" vertical="center"/>
    </xf>
    <xf numFmtId="176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6" fontId="15" fillId="0" borderId="7" xfId="34" applyNumberFormat="1" applyFont="1" applyFill="1" applyBorder="1" applyAlignment="1">
      <alignment horizontal="center" vertical="center"/>
    </xf>
    <xf numFmtId="176" fontId="15" fillId="0" borderId="10" xfId="34" applyNumberFormat="1" applyFont="1" applyFill="1" applyBorder="1" applyAlignment="1">
      <alignment horizontal="right" vertical="center"/>
    </xf>
    <xf numFmtId="176" fontId="15" fillId="0" borderId="19" xfId="46" applyNumberFormat="1" applyFont="1" applyFill="1" applyBorder="1" applyAlignment="1">
      <alignment vertical="center" wrapText="1"/>
    </xf>
    <xf numFmtId="176" fontId="15" fillId="0" borderId="7" xfId="34" applyNumberFormat="1" applyFont="1" applyFill="1" applyBorder="1" applyAlignment="1">
      <alignment vertical="center" wrapText="1"/>
    </xf>
    <xf numFmtId="176" fontId="15" fillId="0" borderId="13" xfId="34" applyNumberFormat="1" applyFont="1" applyFill="1" applyBorder="1" applyAlignment="1">
      <alignment horizontal="right" vertical="center" wrapText="1"/>
    </xf>
    <xf numFmtId="176" fontId="15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5" fillId="0" borderId="7" xfId="34" applyNumberFormat="1" applyFont="1" applyFill="1" applyBorder="1" applyAlignment="1">
      <alignment horizontal="right" vertical="center" wrapText="1"/>
    </xf>
    <xf numFmtId="176" fontId="15" fillId="0" borderId="14" xfId="34" applyNumberFormat="1" applyFont="1" applyFill="1" applyBorder="1" applyAlignment="1">
      <alignment horizontal="right" vertical="center" wrapText="1"/>
    </xf>
    <xf numFmtId="176" fontId="15" fillId="0" borderId="14" xfId="3" applyNumberFormat="1" applyFont="1" applyFill="1" applyBorder="1" applyAlignment="1">
      <alignment horizontal="right" vertical="center" wrapText="1"/>
    </xf>
    <xf numFmtId="176" fontId="15" fillId="0" borderId="19" xfId="3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6" fontId="10" fillId="0" borderId="13" xfId="3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6" fontId="15" fillId="0" borderId="70" xfId="46" applyNumberFormat="1" applyFont="1" applyFill="1" applyBorder="1" applyAlignment="1">
      <alignment vertical="center" wrapText="1"/>
    </xf>
    <xf numFmtId="176" fontId="15" fillId="0" borderId="15" xfId="3" applyNumberFormat="1" applyFont="1" applyFill="1" applyBorder="1" applyAlignment="1">
      <alignment vertical="center" wrapText="1"/>
    </xf>
    <xf numFmtId="176" fontId="15" fillId="0" borderId="16" xfId="3" applyNumberFormat="1" applyFont="1" applyFill="1" applyBorder="1" applyAlignment="1">
      <alignment horizontal="right" vertical="center" wrapText="1"/>
    </xf>
    <xf numFmtId="176" fontId="15" fillId="0" borderId="70" xfId="3" applyNumberFormat="1" applyFont="1" applyFill="1" applyBorder="1" applyAlignment="1">
      <alignment horizontal="right" vertical="center" wrapText="1"/>
    </xf>
    <xf numFmtId="176" fontId="11" fillId="0" borderId="7" xfId="37" applyNumberFormat="1" applyFont="1" applyFill="1" applyBorder="1" applyAlignment="1">
      <alignment horizontal="left" vertical="center" wrapText="1"/>
    </xf>
    <xf numFmtId="176" fontId="11" fillId="0" borderId="1" xfId="37" applyNumberFormat="1" applyFont="1" applyFill="1" applyBorder="1" applyAlignment="1">
      <alignment horizontal="left" vertical="center" wrapText="1"/>
    </xf>
    <xf numFmtId="176" fontId="11" fillId="0" borderId="14" xfId="37" applyNumberFormat="1" applyFont="1" applyFill="1" applyBorder="1" applyAlignment="1">
      <alignment horizontal="right" vertical="center" wrapText="1"/>
    </xf>
    <xf numFmtId="176" fontId="11" fillId="0" borderId="19" xfId="37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horizontal="right" vertical="center" wrapText="1"/>
    </xf>
    <xf numFmtId="176" fontId="10" fillId="0" borderId="2" xfId="34" applyNumberFormat="1" applyFont="1" applyFill="1" applyBorder="1" applyAlignment="1">
      <alignment horizontal="right" vertical="center" wrapText="1"/>
    </xf>
    <xf numFmtId="176" fontId="10" fillId="0" borderId="30" xfId="34" applyNumberFormat="1" applyFont="1" applyFill="1" applyBorder="1" applyAlignment="1">
      <alignment horizontal="right" vertical="center" wrapText="1"/>
    </xf>
    <xf numFmtId="176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6" fontId="10" fillId="0" borderId="7" xfId="3" applyNumberFormat="1" applyFont="1" applyFill="1" applyBorder="1" applyAlignment="1">
      <alignment vertical="center" wrapText="1"/>
    </xf>
    <xf numFmtId="176" fontId="10" fillId="0" borderId="14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0" fillId="0" borderId="14" xfId="38" applyNumberFormat="1" applyFont="1" applyFill="1" applyBorder="1" applyAlignment="1">
      <alignment horizontal="right" vertical="center" wrapText="1"/>
    </xf>
    <xf numFmtId="176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6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6" fontId="15" fillId="0" borderId="14" xfId="9" applyNumberFormat="1" applyFont="1" applyFill="1" applyBorder="1" applyAlignment="1">
      <alignment horizontal="right" vertical="center" wrapText="1"/>
    </xf>
    <xf numFmtId="176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6" fontId="10" fillId="0" borderId="14" xfId="9" applyNumberFormat="1" applyFont="1" applyFill="1" applyBorder="1" applyAlignment="1">
      <alignment horizontal="right" vertical="center" wrapText="1"/>
    </xf>
    <xf numFmtId="176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2" fontId="84" fillId="0" borderId="23" xfId="5" applyNumberFormat="1" applyFont="1" applyFill="1" applyBorder="1" applyAlignment="1">
      <alignment vertical="center" wrapText="1"/>
    </xf>
    <xf numFmtId="172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6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6" fontId="15" fillId="0" borderId="19" xfId="46" applyNumberFormat="1" applyFont="1" applyFill="1" applyBorder="1" applyAlignment="1" applyProtection="1">
      <alignment vertical="center" wrapText="1"/>
      <protection locked="0"/>
    </xf>
    <xf numFmtId="176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1" fillId="0" borderId="14" xfId="24" applyNumberFormat="1" applyFont="1" applyFill="1" applyBorder="1" applyAlignment="1">
      <alignment horizontal="right" vertical="center" wrapText="1"/>
    </xf>
    <xf numFmtId="176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2" fontId="11" fillId="0" borderId="23" xfId="5" applyNumberFormat="1" applyFont="1" applyFill="1" applyBorder="1" applyAlignment="1">
      <alignment vertical="center" wrapText="1"/>
    </xf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176" fontId="11" fillId="0" borderId="7" xfId="34" applyNumberFormat="1" applyFont="1" applyFill="1" applyBorder="1" applyAlignment="1">
      <alignment horizontal="left" vertical="center" wrapText="1"/>
    </xf>
    <xf numFmtId="176" fontId="11" fillId="0" borderId="1" xfId="34" applyNumberFormat="1" applyFont="1" applyFill="1" applyBorder="1" applyAlignment="1">
      <alignment horizontal="left" vertical="center" wrapText="1"/>
    </xf>
    <xf numFmtId="176" fontId="11" fillId="0" borderId="19" xfId="46" applyNumberFormat="1" applyFont="1" applyFill="1" applyBorder="1" applyAlignment="1"/>
    <xf numFmtId="176" fontId="11" fillId="0" borderId="14" xfId="3" applyNumberFormat="1" applyFont="1" applyFill="1" applyBorder="1" applyAlignment="1">
      <alignment horizontal="right"/>
    </xf>
    <xf numFmtId="176" fontId="11" fillId="0" borderId="19" xfId="3" applyNumberFormat="1" applyFont="1" applyFill="1" applyBorder="1" applyAlignment="1">
      <alignment horizontal="right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0" fillId="0" borderId="0" xfId="34" applyNumberFormat="1" applyFont="1" applyFill="1" applyBorder="1" applyAlignment="1">
      <alignment horizontal="right" vertical="center" wrapText="1"/>
    </xf>
    <xf numFmtId="176" fontId="8" fillId="0" borderId="0" xfId="3" applyNumberFormat="1" applyFont="1" applyFill="1" applyBorder="1"/>
    <xf numFmtId="176" fontId="11" fillId="0" borderId="14" xfId="24" applyNumberFormat="1" applyFont="1" applyFill="1" applyBorder="1" applyAlignment="1">
      <alignment horizontal="right"/>
    </xf>
    <xf numFmtId="176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6" fontId="18" fillId="0" borderId="72" xfId="46" applyNumberFormat="1" applyFont="1" applyFill="1" applyBorder="1" applyAlignment="1"/>
    <xf numFmtId="176" fontId="18" fillId="0" borderId="0" xfId="3" applyNumberFormat="1" applyFont="1" applyFill="1" applyBorder="1"/>
    <xf numFmtId="176" fontId="18" fillId="0" borderId="0" xfId="3" applyNumberFormat="1" applyFont="1" applyFill="1" applyBorder="1" applyAlignment="1">
      <alignment horizontal="right"/>
    </xf>
    <xf numFmtId="176" fontId="18" fillId="0" borderId="72" xfId="3" applyNumberFormat="1" applyFont="1" applyFill="1" applyBorder="1" applyAlignment="1">
      <alignment horizontal="right"/>
    </xf>
    <xf numFmtId="176" fontId="8" fillId="0" borderId="72" xfId="46" applyNumberFormat="1" applyFont="1" applyFill="1" applyBorder="1" applyAlignment="1"/>
    <xf numFmtId="176" fontId="8" fillId="0" borderId="0" xfId="3" applyNumberFormat="1" applyFont="1" applyFill="1" applyBorder="1" applyAlignment="1">
      <alignment horizontal="right"/>
    </xf>
    <xf numFmtId="176" fontId="8" fillId="0" borderId="72" xfId="3" applyNumberFormat="1" applyFont="1" applyFill="1" applyBorder="1" applyAlignment="1">
      <alignment horizontal="right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2" fontId="11" fillId="0" borderId="16" xfId="5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5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vertical="center" wrapText="1"/>
    </xf>
    <xf numFmtId="176" fontId="15" fillId="0" borderId="10" xfId="34" applyNumberFormat="1" applyFont="1" applyFill="1" applyBorder="1" applyAlignment="1">
      <alignment horizontal="right" vertical="center" wrapText="1"/>
    </xf>
    <xf numFmtId="176" fontId="15" fillId="0" borderId="71" xfId="34" applyNumberFormat="1" applyFont="1" applyFill="1" applyBorder="1" applyAlignment="1">
      <alignment horizontal="right" vertical="center" wrapText="1"/>
    </xf>
    <xf numFmtId="176" fontId="10" fillId="0" borderId="10" xfId="34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6" fontId="12" fillId="0" borderId="19" xfId="46" applyNumberFormat="1" applyFont="1" applyFill="1" applyBorder="1" applyAlignment="1"/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176" fontId="15" fillId="0" borderId="30" xfId="34" applyNumberFormat="1" applyFont="1" applyFill="1" applyBorder="1" applyAlignment="1">
      <alignment horizontal="right" vertical="center" wrapText="1"/>
    </xf>
    <xf numFmtId="172" fontId="11" fillId="7" borderId="1" xfId="5" applyNumberFormat="1" applyFont="1" applyFill="1" applyBorder="1" applyAlignment="1">
      <alignment horizontal="left" vertical="center" wrapText="1"/>
    </xf>
    <xf numFmtId="176" fontId="12" fillId="0" borderId="71" xfId="46" applyNumberFormat="1" applyFont="1" applyFill="1" applyBorder="1" applyAlignment="1"/>
    <xf numFmtId="176" fontId="12" fillId="0" borderId="30" xfId="34" applyNumberFormat="1" applyFont="1" applyFill="1" applyBorder="1" applyAlignment="1">
      <alignment horizontal="right"/>
    </xf>
    <xf numFmtId="176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6" fontId="10" fillId="0" borderId="66" xfId="46" applyNumberFormat="1" applyFont="1" applyFill="1" applyBorder="1" applyAlignment="1">
      <alignment vertical="center" wrapText="1"/>
    </xf>
    <xf numFmtId="176" fontId="10" fillId="0" borderId="59" xfId="34" applyNumberFormat="1" applyFont="1" applyFill="1" applyBorder="1" applyAlignment="1">
      <alignment horizontal="right" vertical="center" wrapText="1"/>
    </xf>
    <xf numFmtId="176" fontId="10" fillId="0" borderId="4" xfId="34" applyNumberFormat="1" applyFont="1" applyFill="1" applyBorder="1" applyAlignment="1">
      <alignment horizontal="right" vertical="center" wrapText="1"/>
    </xf>
    <xf numFmtId="176" fontId="10" fillId="0" borderId="74" xfId="34" applyNumberFormat="1" applyFont="1" applyFill="1" applyBorder="1" applyAlignment="1">
      <alignment horizontal="right" vertical="center" wrapText="1"/>
    </xf>
    <xf numFmtId="176" fontId="10" fillId="0" borderId="66" xfId="34" applyNumberFormat="1" applyFont="1" applyFill="1" applyBorder="1" applyAlignment="1">
      <alignment horizontal="right" vertical="center" wrapText="1"/>
    </xf>
    <xf numFmtId="176" fontId="12" fillId="0" borderId="20" xfId="46" applyNumberFormat="1" applyFont="1" applyFill="1" applyBorder="1" applyAlignment="1"/>
    <xf numFmtId="176" fontId="12" fillId="0" borderId="18" xfId="34" applyNumberFormat="1" applyFont="1" applyFill="1" applyBorder="1" applyAlignment="1">
      <alignment horizontal="right"/>
    </xf>
    <xf numFmtId="176" fontId="12" fillId="0" borderId="2" xfId="34" applyNumberFormat="1" applyFont="1" applyFill="1" applyBorder="1" applyAlignment="1">
      <alignment horizontal="right"/>
    </xf>
    <xf numFmtId="176" fontId="12" fillId="0" borderId="20" xfId="34" applyNumberFormat="1" applyFont="1" applyFill="1" applyBorder="1" applyAlignment="1">
      <alignment horizontal="right"/>
    </xf>
    <xf numFmtId="176" fontId="10" fillId="0" borderId="9" xfId="46" applyNumberFormat="1" applyFont="1" applyFill="1" applyBorder="1" applyAlignment="1">
      <alignment vertical="center" wrapText="1"/>
    </xf>
    <xf numFmtId="176" fontId="11" fillId="0" borderId="9" xfId="46" applyNumberFormat="1" applyFont="1" applyFill="1" applyBorder="1" applyAlignment="1"/>
    <xf numFmtId="176" fontId="11" fillId="0" borderId="9" xfId="34" applyNumberFormat="1" applyFont="1" applyFill="1" applyBorder="1" applyAlignment="1">
      <alignment horizontal="right"/>
    </xf>
    <xf numFmtId="176" fontId="10" fillId="0" borderId="3" xfId="46" applyNumberFormat="1" applyFont="1" applyFill="1" applyBorder="1" applyAlignment="1">
      <alignment vertical="center" wrapText="1"/>
    </xf>
    <xf numFmtId="176" fontId="10" fillId="0" borderId="3" xfId="34" applyNumberFormat="1" applyFont="1" applyFill="1" applyBorder="1" applyAlignment="1">
      <alignment horizontal="right" vertical="center" wrapText="1"/>
    </xf>
    <xf numFmtId="166" fontId="15" fillId="0" borderId="9" xfId="3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vertical="center"/>
    </xf>
    <xf numFmtId="168" fontId="18" fillId="0" borderId="0" xfId="3" applyNumberFormat="1" applyFont="1" applyFill="1"/>
    <xf numFmtId="168" fontId="21" fillId="0" borderId="0" xfId="3" applyNumberFormat="1" applyFont="1" applyFill="1"/>
    <xf numFmtId="168" fontId="19" fillId="0" borderId="0" xfId="37" applyNumberFormat="1" applyFont="1" applyFill="1" applyBorder="1" applyAlignment="1">
      <alignment horizontal="left" vertical="center" wrapText="1"/>
    </xf>
    <xf numFmtId="168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6" fontId="11" fillId="0" borderId="7" xfId="3" applyNumberFormat="1" applyFont="1" applyFill="1" applyBorder="1" applyAlignment="1">
      <alignment horizontal="right" vertical="center" wrapText="1" indent="1"/>
    </xf>
    <xf numFmtId="176" fontId="11" fillId="0" borderId="13" xfId="3" applyNumberFormat="1" applyFont="1" applyFill="1" applyBorder="1" applyAlignment="1">
      <alignment horizontal="right" vertical="center" wrapText="1" indent="1"/>
    </xf>
    <xf numFmtId="176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6" fontId="10" fillId="0" borderId="7" xfId="34" applyNumberFormat="1" applyFont="1" applyFill="1" applyBorder="1" applyAlignment="1">
      <alignment horizontal="right" vertical="center" wrapText="1" indent="1"/>
    </xf>
    <xf numFmtId="166" fontId="10" fillId="0" borderId="14" xfId="34" applyNumberFormat="1" applyFont="1" applyFill="1" applyBorder="1" applyAlignment="1">
      <alignment horizontal="right" vertical="center" wrapText="1" indent="1"/>
    </xf>
    <xf numFmtId="166" fontId="10" fillId="0" borderId="19" xfId="34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indent="1"/>
    </xf>
    <xf numFmtId="166" fontId="11" fillId="0" borderId="14" xfId="34" applyNumberFormat="1" applyFont="1" applyFill="1" applyBorder="1" applyAlignment="1">
      <alignment horizontal="right" indent="1"/>
    </xf>
    <xf numFmtId="166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2" fontId="11" fillId="0" borderId="16" xfId="5" applyNumberFormat="1" applyFont="1" applyFill="1" applyBorder="1" applyAlignment="1">
      <alignment horizontal="left" vertical="center" wrapText="1"/>
    </xf>
    <xf numFmtId="176" fontId="11" fillId="0" borderId="7" xfId="34" applyNumberFormat="1" applyFont="1" applyFill="1" applyBorder="1" applyAlignment="1">
      <alignment horizontal="left" vertical="center" wrapText="1" indent="1"/>
    </xf>
    <xf numFmtId="176" fontId="11" fillId="0" borderId="1" xfId="34" applyNumberFormat="1" applyFont="1" applyFill="1" applyBorder="1" applyAlignment="1">
      <alignment horizontal="left" vertical="center" wrapText="1" indent="1"/>
    </xf>
    <xf numFmtId="176" fontId="11" fillId="0" borderId="14" xfId="34" applyNumberFormat="1" applyFont="1" applyFill="1" applyBorder="1" applyAlignment="1">
      <alignment horizontal="left" vertical="center" wrapText="1" indent="1"/>
    </xf>
    <xf numFmtId="176" fontId="11" fillId="0" borderId="19" xfId="34" applyNumberFormat="1" applyFont="1" applyFill="1" applyBorder="1" applyAlignment="1">
      <alignment horizontal="left" vertical="center" wrapText="1" indent="1"/>
    </xf>
    <xf numFmtId="166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8" fontId="8" fillId="0" borderId="46" xfId="3" applyNumberFormat="1" applyFont="1" applyFill="1" applyBorder="1"/>
    <xf numFmtId="176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8" fontId="39" fillId="0" borderId="15" xfId="5" applyNumberFormat="1" applyFont="1" applyFill="1" applyBorder="1" applyAlignment="1">
      <alignment horizontal="right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57" fillId="0" borderId="19" xfId="5" applyNumberFormat="1" applyFont="1" applyFill="1" applyBorder="1" applyAlignment="1">
      <alignment horizontal="right" vertical="center" wrapText="1"/>
    </xf>
    <xf numFmtId="168" fontId="57" fillId="0" borderId="70" xfId="5" applyNumberFormat="1" applyFont="1" applyFill="1" applyBorder="1" applyAlignment="1">
      <alignment horizontal="right" vertical="center" wrapText="1"/>
    </xf>
    <xf numFmtId="168" fontId="57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8" fontId="19" fillId="0" borderId="1" xfId="9" applyNumberFormat="1" applyFont="1" applyBorder="1" applyAlignment="1">
      <alignment horizontal="center" vertical="center" wrapText="1"/>
    </xf>
    <xf numFmtId="164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8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8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8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8" fontId="11" fillId="0" borderId="80" xfId="9" applyNumberFormat="1" applyFont="1" applyBorder="1" applyAlignment="1">
      <alignment horizontal="center" vertical="center" wrapText="1"/>
    </xf>
    <xf numFmtId="168" fontId="11" fillId="0" borderId="30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2" fillId="0" borderId="74" xfId="9" applyNumberFormat="1" applyFont="1" applyBorder="1" applyAlignment="1">
      <alignment horizontal="center" vertical="center" wrapText="1"/>
    </xf>
    <xf numFmtId="168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8" fontId="102" fillId="7" borderId="23" xfId="43" applyNumberFormat="1" applyFont="1" applyFill="1" applyBorder="1" applyAlignment="1">
      <alignment horizontal="right" vertical="center" wrapText="1"/>
    </xf>
    <xf numFmtId="168" fontId="102" fillId="7" borderId="34" xfId="43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8" fillId="0" borderId="0" xfId="3" applyNumberFormat="1" applyFont="1" applyFill="1" applyBorder="1"/>
    <xf numFmtId="168" fontId="52" fillId="0" borderId="0" xfId="34" applyNumberFormat="1" applyFont="1" applyFill="1" applyAlignment="1"/>
    <xf numFmtId="0" fontId="31" fillId="0" borderId="0" xfId="9" applyFont="1" applyFill="1" applyAlignment="1">
      <alignment horizontal="center" vertical="center"/>
    </xf>
    <xf numFmtId="182" fontId="7" fillId="0" borderId="0" xfId="7" applyNumberFormat="1" applyFill="1"/>
    <xf numFmtId="165" fontId="8" fillId="0" borderId="0" xfId="1" applyFont="1" applyFill="1" applyBorder="1"/>
    <xf numFmtId="165" fontId="8" fillId="0" borderId="0" xfId="1" applyFont="1" applyFill="1"/>
    <xf numFmtId="171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6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6" fontId="49" fillId="0" borderId="4" xfId="5" applyNumberFormat="1" applyFont="1" applyFill="1" applyBorder="1" applyAlignment="1">
      <alignment horizontal="left" vertical="center" wrapText="1" indent="2"/>
    </xf>
    <xf numFmtId="171" fontId="7" fillId="0" borderId="0" xfId="7" applyNumberFormat="1" applyFill="1"/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8" fontId="11" fillId="0" borderId="7" xfId="3" applyNumberFormat="1" applyFont="1" applyFill="1" applyBorder="1" applyAlignment="1">
      <alignment horizontal="right" vertical="center" wrapText="1" indent="1"/>
    </xf>
    <xf numFmtId="168" fontId="11" fillId="0" borderId="13" xfId="3" applyNumberFormat="1" applyFont="1" applyFill="1" applyBorder="1" applyAlignment="1">
      <alignment horizontal="right" vertical="center" wrapText="1" indent="1"/>
    </xf>
    <xf numFmtId="168" fontId="11" fillId="0" borderId="19" xfId="3" applyNumberFormat="1" applyFont="1" applyFill="1" applyBorder="1" applyAlignment="1">
      <alignment horizontal="right" vertical="center" wrapText="1" indent="1"/>
    </xf>
    <xf numFmtId="168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7" fontId="10" fillId="0" borderId="12" xfId="34" applyNumberFormat="1" applyFont="1" applyFill="1" applyBorder="1" applyAlignment="1">
      <alignment horizontal="right" vertical="center" wrapText="1"/>
    </xf>
    <xf numFmtId="0" fontId="31" fillId="0" borderId="0" xfId="9" applyFont="1" applyFill="1" applyAlignment="1">
      <alignment horizontal="right" vertical="center"/>
    </xf>
    <xf numFmtId="0" fontId="8" fillId="0" borderId="0" xfId="3" applyFont="1" applyFill="1" applyAlignment="1">
      <alignment horizontal="right"/>
    </xf>
    <xf numFmtId="168" fontId="8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4" fontId="7" fillId="0" borderId="0" xfId="41" applyNumberFormat="1" applyFill="1"/>
    <xf numFmtId="0" fontId="11" fillId="0" borderId="0" xfId="9" applyFont="1" applyFill="1" applyAlignment="1">
      <alignment horizontal="left"/>
    </xf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8" fontId="24" fillId="0" borderId="0" xfId="9" applyNumberFormat="1" applyFont="1" applyFill="1" applyAlignment="1">
      <alignment vertical="center" wrapText="1"/>
    </xf>
    <xf numFmtId="168" fontId="31" fillId="0" borderId="0" xfId="9" applyNumberFormat="1" applyFont="1" applyFill="1"/>
    <xf numFmtId="0" fontId="31" fillId="0" borderId="0" xfId="9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168" fontId="12" fillId="0" borderId="45" xfId="9" applyNumberFormat="1" applyFont="1" applyFill="1" applyBorder="1" applyAlignment="1">
      <alignment horizontal="center" vertical="center" wrapText="1"/>
    </xf>
    <xf numFmtId="168" fontId="12" fillId="0" borderId="67" xfId="9" applyNumberFormat="1" applyFont="1" applyFill="1" applyBorder="1" applyAlignment="1">
      <alignment horizontal="center" vertical="center" wrapText="1"/>
    </xf>
    <xf numFmtId="168" fontId="12" fillId="0" borderId="47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8" fontId="11" fillId="0" borderId="26" xfId="9" applyNumberFormat="1" applyFont="1" applyFill="1" applyBorder="1" applyAlignment="1">
      <alignment horizontal="center" vertical="center" wrapText="1"/>
    </xf>
    <xf numFmtId="168" fontId="11" fillId="0" borderId="68" xfId="9" applyNumberFormat="1" applyFont="1" applyFill="1" applyBorder="1" applyAlignment="1">
      <alignment horizontal="center" vertical="center" wrapText="1"/>
    </xf>
    <xf numFmtId="168" fontId="11" fillId="0" borderId="1" xfId="9" applyNumberFormat="1" applyFont="1" applyFill="1" applyBorder="1" applyAlignment="1">
      <alignment horizontal="center" vertical="center" wrapText="1"/>
    </xf>
    <xf numFmtId="168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8" fontId="12" fillId="0" borderId="4" xfId="9" applyNumberFormat="1" applyFont="1" applyFill="1" applyBorder="1" applyAlignment="1">
      <alignment horizontal="center" vertical="center" wrapText="1"/>
    </xf>
    <xf numFmtId="168" fontId="12" fillId="0" borderId="74" xfId="9" applyNumberFormat="1" applyFont="1" applyFill="1" applyBorder="1" applyAlignment="1">
      <alignment horizontal="center" vertical="center" wrapText="1"/>
    </xf>
    <xf numFmtId="164" fontId="11" fillId="0" borderId="0" xfId="9" applyNumberFormat="1" applyFont="1" applyFill="1"/>
    <xf numFmtId="164" fontId="19" fillId="0" borderId="0" xfId="9" applyNumberFormat="1" applyFont="1" applyFill="1"/>
    <xf numFmtId="0" fontId="19" fillId="0" borderId="0" xfId="9" applyFont="1" applyFill="1"/>
    <xf numFmtId="168" fontId="12" fillId="0" borderId="1" xfId="9" applyNumberFormat="1" applyFont="1" applyFill="1" applyBorder="1" applyAlignment="1">
      <alignment horizontal="center" vertical="center" wrapText="1"/>
    </xf>
    <xf numFmtId="168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164" fontId="12" fillId="0" borderId="0" xfId="9" applyNumberFormat="1" applyFont="1" applyFill="1"/>
    <xf numFmtId="0" fontId="12" fillId="0" borderId="0" xfId="9" applyFont="1" applyFill="1"/>
    <xf numFmtId="0" fontId="31" fillId="0" borderId="0" xfId="9" applyFont="1" applyFill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6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8" fontId="50" fillId="0" borderId="0" xfId="5" applyNumberFormat="1" applyFont="1" applyFill="1" applyBorder="1" applyAlignment="1">
      <alignment horizontal="right"/>
    </xf>
    <xf numFmtId="168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8" fontId="74" fillId="0" borderId="1" xfId="53" applyNumberFormat="1" applyFont="1" applyFill="1" applyBorder="1" applyAlignment="1">
      <alignment horizontal="right" vertical="center" wrapText="1"/>
    </xf>
    <xf numFmtId="168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8" fontId="108" fillId="0" borderId="1" xfId="53" applyNumberFormat="1" applyFont="1" applyFill="1" applyBorder="1" applyAlignment="1">
      <alignment horizontal="right" vertical="center" wrapText="1"/>
    </xf>
    <xf numFmtId="168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8" fontId="108" fillId="0" borderId="23" xfId="53" applyNumberFormat="1" applyFont="1" applyFill="1" applyBorder="1" applyAlignment="1">
      <alignment horizontal="right" vertical="center" wrapText="1"/>
    </xf>
    <xf numFmtId="168" fontId="108" fillId="0" borderId="34" xfId="53" applyNumberFormat="1" applyFont="1" applyFill="1" applyBorder="1" applyAlignment="1">
      <alignment horizontal="right" vertical="center" wrapText="1"/>
    </xf>
    <xf numFmtId="166" fontId="53" fillId="0" borderId="5" xfId="5" applyNumberFormat="1" applyFont="1" applyFill="1" applyBorder="1" applyAlignment="1">
      <alignment horizontal="left" vertical="center" wrapText="1"/>
    </xf>
    <xf numFmtId="166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4" fontId="53" fillId="0" borderId="4" xfId="5" applyNumberFormat="1" applyFont="1" applyFill="1" applyBorder="1" applyAlignment="1">
      <alignment horizontal="right" vertical="center"/>
    </xf>
    <xf numFmtId="168" fontId="74" fillId="0" borderId="4" xfId="53" applyNumberFormat="1" applyFont="1" applyFill="1" applyBorder="1" applyAlignment="1">
      <alignment horizontal="right" vertical="center" wrapText="1"/>
    </xf>
    <xf numFmtId="168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31" fillId="0" borderId="0" xfId="27" applyFont="1" applyFill="1" applyAlignment="1"/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6" fontId="8" fillId="0" borderId="0" xfId="3" applyNumberFormat="1" applyFont="1" applyFill="1" applyBorder="1"/>
    <xf numFmtId="168" fontId="39" fillId="0" borderId="13" xfId="5" applyNumberFormat="1" applyFont="1" applyFill="1" applyBorder="1" applyAlignment="1">
      <alignment horizontal="right" vertical="center" wrapText="1"/>
    </xf>
    <xf numFmtId="168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vertical="center"/>
    </xf>
    <xf numFmtId="0" fontId="11" fillId="0" borderId="44" xfId="9" applyFont="1" applyFill="1" applyBorder="1" applyAlignment="1">
      <alignment vertical="center"/>
    </xf>
    <xf numFmtId="0" fontId="11" fillId="0" borderId="33" xfId="9" applyFont="1" applyFill="1" applyBorder="1" applyAlignment="1">
      <alignment horizontal="left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8" fontId="74" fillId="0" borderId="1" xfId="55" applyNumberFormat="1" applyFont="1" applyFill="1" applyBorder="1" applyAlignment="1">
      <alignment horizontal="right" vertical="center" wrapText="1"/>
    </xf>
    <xf numFmtId="168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8" fontId="108" fillId="0" borderId="1" xfId="55" applyNumberFormat="1" applyFont="1" applyFill="1" applyBorder="1" applyAlignment="1">
      <alignment horizontal="right" vertical="center" wrapText="1"/>
    </xf>
    <xf numFmtId="168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8" fontId="108" fillId="0" borderId="23" xfId="55" applyNumberFormat="1" applyFont="1" applyFill="1" applyBorder="1" applyAlignment="1">
      <alignment horizontal="right" vertical="center" wrapText="1"/>
    </xf>
    <xf numFmtId="168" fontId="108" fillId="0" borderId="34" xfId="55" applyNumberFormat="1" applyFont="1" applyFill="1" applyBorder="1" applyAlignment="1">
      <alignment horizontal="right" vertical="center" wrapText="1"/>
    </xf>
    <xf numFmtId="168" fontId="74" fillId="0" borderId="4" xfId="55" applyNumberFormat="1" applyFont="1" applyFill="1" applyBorder="1" applyAlignment="1">
      <alignment horizontal="right" vertical="center" wrapText="1"/>
    </xf>
    <xf numFmtId="168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6" fontId="10" fillId="0" borderId="1" xfId="34" applyNumberFormat="1" applyFont="1" applyFill="1" applyBorder="1" applyAlignment="1">
      <alignment horizontal="right" vertical="center" wrapText="1" indent="1"/>
    </xf>
    <xf numFmtId="166" fontId="10" fillId="0" borderId="14" xfId="9" applyNumberFormat="1" applyFont="1" applyFill="1" applyBorder="1" applyAlignment="1">
      <alignment horizontal="right" vertical="center" wrapText="1" indent="1"/>
    </xf>
    <xf numFmtId="166" fontId="10" fillId="0" borderId="19" xfId="9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vertical="center" indent="1"/>
    </xf>
    <xf numFmtId="166" fontId="10" fillId="0" borderId="0" xfId="34" applyNumberFormat="1" applyFont="1" applyFill="1" applyBorder="1" applyAlignment="1">
      <alignment horizontal="right" vertical="center" wrapText="1" indent="1"/>
    </xf>
    <xf numFmtId="166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168" fontId="52" fillId="0" borderId="2" xfId="34" applyNumberFormat="1" applyFont="1" applyFill="1" applyBorder="1" applyAlignment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8" fontId="10" fillId="0" borderId="7" xfId="3" applyNumberFormat="1" applyFont="1" applyFill="1" applyBorder="1" applyAlignment="1">
      <alignment horizontal="right" vertical="center" wrapText="1" indent="1"/>
    </xf>
    <xf numFmtId="168" fontId="10" fillId="0" borderId="1" xfId="3" applyNumberFormat="1" applyFont="1" applyFill="1" applyBorder="1" applyAlignment="1">
      <alignment horizontal="right" vertical="center" wrapText="1" indent="1"/>
    </xf>
    <xf numFmtId="168" fontId="10" fillId="0" borderId="14" xfId="3" applyNumberFormat="1" applyFont="1" applyFill="1" applyBorder="1" applyAlignment="1">
      <alignment horizontal="right" vertical="center" wrapText="1" indent="1"/>
    </xf>
    <xf numFmtId="168" fontId="10" fillId="0" borderId="19" xfId="3" applyNumberFormat="1" applyFont="1" applyFill="1" applyBorder="1" applyAlignment="1">
      <alignment horizontal="right" vertical="center" wrapText="1" indent="1"/>
    </xf>
    <xf numFmtId="168" fontId="15" fillId="0" borderId="7" xfId="3" applyNumberFormat="1" applyFont="1" applyFill="1" applyBorder="1" applyAlignment="1">
      <alignment horizontal="right" vertical="center" wrapText="1" indent="1"/>
    </xf>
    <xf numFmtId="168" fontId="15" fillId="0" borderId="1" xfId="3" applyNumberFormat="1" applyFont="1" applyFill="1" applyBorder="1" applyAlignment="1">
      <alignment horizontal="right" vertical="center" wrapText="1" indent="1"/>
    </xf>
    <xf numFmtId="168" fontId="15" fillId="0" borderId="14" xfId="3" applyNumberFormat="1" applyFont="1" applyFill="1" applyBorder="1" applyAlignment="1">
      <alignment horizontal="right" vertical="center" wrapText="1" indent="1"/>
    </xf>
    <xf numFmtId="168" fontId="15" fillId="0" borderId="19" xfId="3" applyNumberFormat="1" applyFont="1" applyFill="1" applyBorder="1" applyAlignment="1">
      <alignment horizontal="right" vertical="center" wrapText="1" indent="1"/>
    </xf>
    <xf numFmtId="174" fontId="24" fillId="0" borderId="38" xfId="26" applyNumberFormat="1" applyFont="1" applyFill="1" applyBorder="1" applyAlignment="1">
      <alignment horizontal="right" vertical="distributed"/>
    </xf>
    <xf numFmtId="174" fontId="52" fillId="0" borderId="0" xfId="34" applyNumberFormat="1" applyFont="1" applyFill="1" applyBorder="1" applyAlignment="1"/>
    <xf numFmtId="174" fontId="52" fillId="0" borderId="0" xfId="7" applyNumberFormat="1" applyFont="1" applyFill="1" applyBorder="1" applyAlignment="1"/>
    <xf numFmtId="174" fontId="54" fillId="0" borderId="38" xfId="26" applyNumberFormat="1" applyFont="1" applyFill="1" applyBorder="1" applyAlignment="1">
      <alignment horizontal="center"/>
    </xf>
    <xf numFmtId="174" fontId="31" fillId="0" borderId="52" xfId="9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/>
    <xf numFmtId="174" fontId="52" fillId="0" borderId="47" xfId="26" applyNumberFormat="1" applyFont="1" applyFill="1" applyBorder="1" applyAlignment="1"/>
    <xf numFmtId="174" fontId="52" fillId="0" borderId="1" xfId="7" applyNumberFormat="1" applyFont="1" applyFill="1" applyBorder="1" applyAlignment="1">
      <alignment horizontal="right"/>
    </xf>
    <xf numFmtId="174" fontId="54" fillId="0" borderId="45" xfId="26" applyNumberFormat="1" applyFont="1" applyFill="1" applyBorder="1" applyAlignment="1">
      <alignment horizontal="right"/>
    </xf>
    <xf numFmtId="174" fontId="52" fillId="0" borderId="28" xfId="34" applyNumberFormat="1" applyFont="1" applyFill="1" applyBorder="1" applyAlignment="1">
      <alignment horizontal="right"/>
    </xf>
    <xf numFmtId="174" fontId="52" fillId="0" borderId="26" xfId="34" applyNumberFormat="1" applyFont="1" applyFill="1" applyBorder="1" applyAlignment="1">
      <alignment horizontal="right"/>
    </xf>
    <xf numFmtId="174" fontId="52" fillId="0" borderId="25" xfId="34" applyNumberFormat="1" applyFont="1" applyFill="1" applyBorder="1" applyAlignment="1">
      <alignment horizontal="right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84" fontId="8" fillId="0" borderId="0" xfId="3" applyNumberFormat="1" applyFont="1" applyFill="1"/>
    <xf numFmtId="174" fontId="10" fillId="0" borderId="19" xfId="46" applyNumberFormat="1" applyFont="1" applyFill="1" applyBorder="1" applyAlignment="1">
      <alignment horizontal="right" vertical="center" wrapText="1" indent="1"/>
    </xf>
    <xf numFmtId="174" fontId="10" fillId="0" borderId="71" xfId="46" applyNumberFormat="1" applyFont="1" applyFill="1" applyBorder="1" applyAlignment="1">
      <alignment horizontal="right" vertical="center" wrapText="1" indent="1"/>
    </xf>
    <xf numFmtId="174" fontId="15" fillId="0" borderId="19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vertical="center" wrapText="1" indent="1"/>
    </xf>
    <xf numFmtId="174" fontId="15" fillId="0" borderId="71" xfId="34" applyNumberFormat="1" applyFont="1" applyFill="1" applyBorder="1" applyAlignment="1">
      <alignment horizontal="right" vertical="center" wrapText="1" indent="1"/>
    </xf>
    <xf numFmtId="174" fontId="10" fillId="0" borderId="19" xfId="34" applyNumberFormat="1" applyFont="1" applyFill="1" applyBorder="1" applyAlignment="1">
      <alignment horizontal="right" vertical="center" wrapText="1" indent="1"/>
    </xf>
    <xf numFmtId="174" fontId="11" fillId="0" borderId="19" xfId="24" applyNumberFormat="1" applyFont="1" applyFill="1" applyBorder="1" applyAlignment="1">
      <alignment horizontal="right" indent="1"/>
    </xf>
    <xf numFmtId="174" fontId="11" fillId="0" borderId="71" xfId="24" applyNumberFormat="1" applyFont="1" applyFill="1" applyBorder="1" applyAlignment="1">
      <alignment horizontal="right" indent="1"/>
    </xf>
    <xf numFmtId="174" fontId="11" fillId="0" borderId="71" xfId="46" applyNumberFormat="1" applyFont="1" applyFill="1" applyBorder="1" applyAlignment="1">
      <alignment horizontal="right" vertical="center" wrapText="1" indent="1"/>
    </xf>
    <xf numFmtId="174" fontId="15" fillId="0" borderId="71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indent="1"/>
    </xf>
    <xf numFmtId="174" fontId="8" fillId="0" borderId="0" xfId="46" applyNumberFormat="1" applyFont="1" applyFill="1" applyAlignment="1">
      <alignment horizontal="right" indent="1"/>
    </xf>
    <xf numFmtId="174" fontId="35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vertical="center" indent="1"/>
    </xf>
    <xf numFmtId="174" fontId="8" fillId="0" borderId="0" xfId="46" applyNumberFormat="1" applyFont="1" applyFill="1" applyAlignment="1">
      <alignment horizontal="right" vertical="center" indent="1"/>
    </xf>
    <xf numFmtId="174" fontId="32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indent="1"/>
    </xf>
    <xf numFmtId="174" fontId="15" fillId="0" borderId="1" xfId="46" applyNumberFormat="1" applyFont="1" applyFill="1" applyBorder="1" applyAlignment="1">
      <alignment horizontal="right" vertical="center" indent="1"/>
    </xf>
    <xf numFmtId="174" fontId="21" fillId="0" borderId="1" xfId="46" applyNumberFormat="1" applyFont="1" applyFill="1" applyBorder="1" applyAlignment="1">
      <alignment horizontal="right" vertical="center" wrapText="1" indent="1"/>
    </xf>
    <xf numFmtId="174" fontId="27" fillId="0" borderId="1" xfId="46" applyNumberFormat="1" applyFont="1" applyFill="1" applyBorder="1" applyAlignment="1">
      <alignment horizontal="right" vertical="center" wrapText="1" indent="1"/>
    </xf>
    <xf numFmtId="174" fontId="12" fillId="0" borderId="1" xfId="46" applyNumberFormat="1" applyFont="1" applyFill="1" applyBorder="1" applyAlignment="1">
      <alignment horizontal="right" vertical="center" wrapText="1" indent="1"/>
    </xf>
    <xf numFmtId="174" fontId="11" fillId="0" borderId="1" xfId="46" applyNumberFormat="1" applyFont="1" applyFill="1" applyBorder="1" applyAlignment="1">
      <alignment horizontal="right" vertical="center" wrapText="1" indent="1"/>
    </xf>
    <xf numFmtId="174" fontId="15" fillId="0" borderId="1" xfId="46" applyNumberFormat="1" applyFont="1" applyFill="1" applyBorder="1" applyAlignment="1">
      <alignment horizontal="right" vertical="center" wrapText="1" indent="1"/>
    </xf>
    <xf numFmtId="174" fontId="10" fillId="0" borderId="1" xfId="46" applyNumberFormat="1" applyFont="1" applyFill="1" applyBorder="1" applyAlignment="1">
      <alignment horizontal="right" vertical="center" wrapText="1" indent="1"/>
    </xf>
    <xf numFmtId="174" fontId="26" fillId="0" borderId="1" xfId="46" applyNumberFormat="1" applyFont="1" applyFill="1" applyBorder="1" applyAlignment="1">
      <alignment horizontal="right" vertical="center" wrapText="1" indent="1"/>
    </xf>
    <xf numFmtId="174" fontId="10" fillId="0" borderId="7" xfId="46" applyNumberFormat="1" applyFont="1" applyFill="1" applyBorder="1" applyAlignment="1">
      <alignment horizontal="right" vertical="center" wrapText="1" indent="1"/>
    </xf>
    <xf numFmtId="174" fontId="29" fillId="0" borderId="1" xfId="46" applyNumberFormat="1" applyFont="1" applyFill="1" applyBorder="1" applyAlignment="1">
      <alignment horizontal="right" vertical="center" wrapText="1" indent="1"/>
    </xf>
    <xf numFmtId="174" fontId="10" fillId="0" borderId="18" xfId="46" applyNumberFormat="1" applyFont="1" applyFill="1" applyBorder="1" applyAlignment="1">
      <alignment horizontal="right" vertical="center" wrapText="1" indent="1"/>
    </xf>
    <xf numFmtId="174" fontId="10" fillId="0" borderId="15" xfId="46" applyNumberFormat="1" applyFont="1" applyFill="1" applyBorder="1" applyAlignment="1">
      <alignment horizontal="right" vertical="center" wrapText="1" indent="1"/>
    </xf>
    <xf numFmtId="174" fontId="15" fillId="0" borderId="7" xfId="46" applyNumberFormat="1" applyFont="1" applyFill="1" applyBorder="1" applyAlignment="1">
      <alignment horizontal="right" vertical="center" wrapText="1" indent="1"/>
    </xf>
    <xf numFmtId="174" fontId="11" fillId="0" borderId="7" xfId="46" applyNumberFormat="1" applyFont="1" applyFill="1" applyBorder="1" applyAlignment="1">
      <alignment horizontal="right" vertical="center" wrapText="1" indent="1"/>
    </xf>
    <xf numFmtId="174" fontId="15" fillId="0" borderId="69" xfId="46" applyNumberFormat="1" applyFont="1" applyFill="1" applyBorder="1" applyAlignment="1">
      <alignment horizontal="right" vertical="center" indent="1"/>
    </xf>
    <xf numFmtId="174" fontId="15" fillId="0" borderId="19" xfId="46" applyNumberFormat="1" applyFont="1" applyFill="1" applyBorder="1" applyAlignment="1">
      <alignment horizontal="right" vertical="center" indent="1"/>
    </xf>
    <xf numFmtId="174" fontId="95" fillId="0" borderId="19" xfId="46" applyNumberFormat="1" applyFont="1" applyFill="1" applyBorder="1" applyAlignment="1">
      <alignment horizontal="right" vertical="center" wrapText="1" indent="1"/>
    </xf>
    <xf numFmtId="174" fontId="15" fillId="0" borderId="70" xfId="46" applyNumberFormat="1" applyFont="1" applyFill="1" applyBorder="1" applyAlignment="1">
      <alignment horizontal="right" vertical="center" wrapText="1" indent="1"/>
    </xf>
    <xf numFmtId="174" fontId="106" fillId="0" borderId="19" xfId="46" applyNumberFormat="1" applyFont="1" applyFill="1" applyBorder="1" applyAlignment="1">
      <alignment horizontal="right" vertical="center" wrapText="1" indent="1"/>
    </xf>
    <xf numFmtId="174" fontId="96" fillId="0" borderId="19" xfId="46" applyNumberFormat="1" applyFont="1" applyFill="1" applyBorder="1" applyAlignment="1">
      <alignment horizontal="right" vertical="center" wrapText="1" indent="1"/>
    </xf>
    <xf numFmtId="174" fontId="18" fillId="0" borderId="72" xfId="46" applyNumberFormat="1" applyFont="1" applyFill="1" applyBorder="1" applyAlignment="1">
      <alignment horizontal="right" indent="1"/>
    </xf>
    <xf numFmtId="174" fontId="8" fillId="0" borderId="72" xfId="46" applyNumberFormat="1" applyFont="1" applyFill="1" applyBorder="1" applyAlignment="1">
      <alignment horizontal="right" indent="1"/>
    </xf>
    <xf numFmtId="174" fontId="11" fillId="0" borderId="70" xfId="46" applyNumberFormat="1" applyFont="1" applyFill="1" applyBorder="1" applyAlignment="1">
      <alignment horizontal="right" vertical="center" wrapText="1" indent="1"/>
    </xf>
    <xf numFmtId="174" fontId="12" fillId="0" borderId="71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indent="1"/>
    </xf>
    <xf numFmtId="174" fontId="12" fillId="0" borderId="71" xfId="46" applyNumberFormat="1" applyFont="1" applyFill="1" applyBorder="1" applyAlignment="1">
      <alignment horizontal="right" indent="1"/>
    </xf>
    <xf numFmtId="174" fontId="12" fillId="0" borderId="20" xfId="46" applyNumberFormat="1" applyFont="1" applyFill="1" applyBorder="1" applyAlignment="1">
      <alignment horizontal="right" indent="1"/>
    </xf>
    <xf numFmtId="174" fontId="10" fillId="0" borderId="9" xfId="46" applyNumberFormat="1" applyFont="1" applyFill="1" applyBorder="1" applyAlignment="1">
      <alignment horizontal="right" vertical="center" wrapText="1" indent="1"/>
    </xf>
    <xf numFmtId="174" fontId="11" fillId="0" borderId="9" xfId="46" applyNumberFormat="1" applyFont="1" applyFill="1" applyBorder="1" applyAlignment="1">
      <alignment horizontal="right" indent="1"/>
    </xf>
    <xf numFmtId="174" fontId="10" fillId="0" borderId="3" xfId="46" applyNumberFormat="1" applyFont="1" applyFill="1" applyBorder="1" applyAlignment="1">
      <alignment horizontal="right" vertical="center" wrapText="1" indent="1"/>
    </xf>
    <xf numFmtId="183" fontId="31" fillId="0" borderId="0" xfId="9" applyNumberFormat="1" applyFont="1" applyFill="1" applyAlignment="1">
      <alignment horizontal="right" vertical="center" indent="1"/>
    </xf>
    <xf numFmtId="183" fontId="11" fillId="0" borderId="0" xfId="46" applyNumberFormat="1" applyFont="1" applyFill="1" applyAlignment="1">
      <alignment horizontal="right" indent="1"/>
    </xf>
    <xf numFmtId="183" fontId="35" fillId="0" borderId="0" xfId="7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vertical="center" indent="1"/>
    </xf>
    <xf numFmtId="183" fontId="31" fillId="0" borderId="0" xfId="46" applyNumberFormat="1" applyFont="1" applyFill="1" applyAlignment="1">
      <alignment horizontal="right" vertical="center" indent="1"/>
    </xf>
    <xf numFmtId="183" fontId="32" fillId="0" borderId="0" xfId="46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indent="1"/>
    </xf>
    <xf numFmtId="183" fontId="8" fillId="0" borderId="0" xfId="3" applyNumberFormat="1" applyFont="1" applyFill="1" applyBorder="1" applyAlignment="1">
      <alignment horizontal="right" indent="1"/>
    </xf>
    <xf numFmtId="183" fontId="31" fillId="0" borderId="0" xfId="46" applyNumberFormat="1" applyFont="1" applyFill="1" applyAlignment="1">
      <alignment horizontal="right" indent="1"/>
    </xf>
    <xf numFmtId="183" fontId="15" fillId="0" borderId="1" xfId="46" applyNumberFormat="1" applyFont="1" applyFill="1" applyBorder="1" applyAlignment="1">
      <alignment horizontal="right" vertical="center" indent="1"/>
    </xf>
    <xf numFmtId="183" fontId="21" fillId="0" borderId="1" xfId="46" applyNumberFormat="1" applyFont="1" applyFill="1" applyBorder="1" applyAlignment="1">
      <alignment horizontal="right" vertical="center" wrapText="1" indent="1"/>
    </xf>
    <xf numFmtId="183" fontId="27" fillId="0" borderId="1" xfId="46" applyNumberFormat="1" applyFont="1" applyFill="1" applyBorder="1" applyAlignment="1">
      <alignment horizontal="right" vertical="center" wrapText="1" indent="1"/>
    </xf>
    <xf numFmtId="183" fontId="12" fillId="0" borderId="1" xfId="46" applyNumberFormat="1" applyFont="1" applyFill="1" applyBorder="1" applyAlignment="1">
      <alignment horizontal="right" vertical="center" wrapText="1" indent="1"/>
    </xf>
    <xf numFmtId="183" fontId="11" fillId="0" borderId="1" xfId="46" applyNumberFormat="1" applyFont="1" applyFill="1" applyBorder="1" applyAlignment="1">
      <alignment horizontal="right" vertical="center" wrapText="1" indent="1"/>
    </xf>
    <xf numFmtId="183" fontId="15" fillId="0" borderId="1" xfId="46" applyNumberFormat="1" applyFont="1" applyFill="1" applyBorder="1" applyAlignment="1">
      <alignment horizontal="right" vertical="center" wrapText="1" indent="1"/>
    </xf>
    <xf numFmtId="183" fontId="10" fillId="0" borderId="1" xfId="46" applyNumberFormat="1" applyFont="1" applyFill="1" applyBorder="1" applyAlignment="1">
      <alignment horizontal="right" vertical="center" wrapText="1" indent="1"/>
    </xf>
    <xf numFmtId="183" fontId="26" fillId="0" borderId="1" xfId="46" applyNumberFormat="1" applyFont="1" applyFill="1" applyBorder="1" applyAlignment="1">
      <alignment horizontal="right" vertical="center" wrapText="1" indent="1"/>
    </xf>
    <xf numFmtId="183" fontId="10" fillId="0" borderId="7" xfId="46" applyNumberFormat="1" applyFont="1" applyFill="1" applyBorder="1" applyAlignment="1">
      <alignment horizontal="right" vertical="center" wrapText="1" indent="1"/>
    </xf>
    <xf numFmtId="183" fontId="29" fillId="0" borderId="1" xfId="46" applyNumberFormat="1" applyFont="1" applyFill="1" applyBorder="1" applyAlignment="1">
      <alignment horizontal="right" vertical="center" wrapText="1" indent="1"/>
    </xf>
    <xf numFmtId="183" fontId="10" fillId="0" borderId="18" xfId="46" applyNumberFormat="1" applyFont="1" applyFill="1" applyBorder="1" applyAlignment="1">
      <alignment horizontal="right" vertical="center" wrapText="1" indent="1"/>
    </xf>
    <xf numFmtId="183" fontId="10" fillId="0" borderId="15" xfId="46" applyNumberFormat="1" applyFont="1" applyFill="1" applyBorder="1" applyAlignment="1">
      <alignment horizontal="right" vertical="center" wrapText="1" indent="1"/>
    </xf>
    <xf numFmtId="183" fontId="15" fillId="0" borderId="7" xfId="46" applyNumberFormat="1" applyFont="1" applyFill="1" applyBorder="1" applyAlignment="1">
      <alignment horizontal="right" vertical="center" wrapText="1" indent="1"/>
    </xf>
    <xf numFmtId="183" fontId="11" fillId="0" borderId="7" xfId="46" applyNumberFormat="1" applyFont="1" applyFill="1" applyBorder="1" applyAlignment="1">
      <alignment horizontal="right" vertical="center" wrapText="1" indent="1"/>
    </xf>
    <xf numFmtId="183" fontId="15" fillId="0" borderId="6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wrapText="1" indent="1"/>
    </xf>
    <xf numFmtId="183" fontId="10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95" fillId="0" borderId="19" xfId="46" applyNumberFormat="1" applyFont="1" applyFill="1" applyBorder="1" applyAlignment="1">
      <alignment horizontal="right" vertical="center" wrapText="1" indent="1"/>
    </xf>
    <xf numFmtId="183" fontId="15" fillId="0" borderId="70" xfId="46" applyNumberFormat="1" applyFont="1" applyFill="1" applyBorder="1" applyAlignment="1">
      <alignment horizontal="right" vertical="center" wrapText="1" indent="1"/>
    </xf>
    <xf numFmtId="183" fontId="10" fillId="0" borderId="71" xfId="46" applyNumberFormat="1" applyFont="1" applyFill="1" applyBorder="1" applyAlignment="1">
      <alignment horizontal="right" vertical="center" wrapText="1" indent="1"/>
    </xf>
    <xf numFmtId="183" fontId="106" fillId="0" borderId="19" xfId="46" applyNumberFormat="1" applyFont="1" applyFill="1" applyBorder="1" applyAlignment="1">
      <alignment horizontal="right" vertical="center" wrapText="1" indent="1"/>
    </xf>
    <xf numFmtId="183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3" fontId="96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indent="1"/>
    </xf>
    <xf numFmtId="183" fontId="18" fillId="0" borderId="72" xfId="46" applyNumberFormat="1" applyFont="1" applyFill="1" applyBorder="1" applyAlignment="1">
      <alignment horizontal="right" indent="1"/>
    </xf>
    <xf numFmtId="183" fontId="8" fillId="0" borderId="72" xfId="46" applyNumberFormat="1" applyFont="1" applyFill="1" applyBorder="1" applyAlignment="1">
      <alignment horizontal="right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1" fillId="0" borderId="9" xfId="34" applyNumberFormat="1" applyFont="1" applyFill="1" applyBorder="1" applyAlignment="1">
      <alignment horizontal="right" vertical="center" wrapText="1" indent="1"/>
    </xf>
    <xf numFmtId="183" fontId="11" fillId="0" borderId="9" xfId="24" applyNumberFormat="1" applyFont="1" applyFill="1" applyBorder="1" applyAlignment="1">
      <alignment horizontal="right" indent="1"/>
    </xf>
    <xf numFmtId="183" fontId="11" fillId="0" borderId="6" xfId="24" applyNumberFormat="1" applyFont="1" applyFill="1" applyBorder="1" applyAlignment="1">
      <alignment horizontal="right" indent="1"/>
    </xf>
    <xf numFmtId="183" fontId="15" fillId="0" borderId="71" xfId="46" applyNumberFormat="1" applyFont="1" applyFill="1" applyBorder="1" applyAlignment="1">
      <alignment horizontal="right" vertical="center" wrapText="1" indent="1"/>
    </xf>
    <xf numFmtId="183" fontId="12" fillId="0" borderId="71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indent="1"/>
    </xf>
    <xf numFmtId="183" fontId="12" fillId="0" borderId="71" xfId="46" applyNumberFormat="1" applyFont="1" applyFill="1" applyBorder="1" applyAlignment="1">
      <alignment horizontal="right" indent="1"/>
    </xf>
    <xf numFmtId="183" fontId="12" fillId="0" borderId="20" xfId="46" applyNumberFormat="1" applyFont="1" applyFill="1" applyBorder="1" applyAlignment="1">
      <alignment horizontal="right" indent="1"/>
    </xf>
    <xf numFmtId="183" fontId="10" fillId="0" borderId="9" xfId="46" applyNumberFormat="1" applyFont="1" applyFill="1" applyBorder="1" applyAlignment="1">
      <alignment horizontal="right" vertical="center" wrapText="1" indent="1"/>
    </xf>
    <xf numFmtId="183" fontId="11" fillId="0" borderId="9" xfId="46" applyNumberFormat="1" applyFont="1" applyFill="1" applyBorder="1" applyAlignment="1">
      <alignment horizontal="right" indent="1"/>
    </xf>
    <xf numFmtId="183" fontId="10" fillId="0" borderId="3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wrapText="1" indent="1"/>
    </xf>
    <xf numFmtId="174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4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66" xfId="46" applyNumberFormat="1" applyFont="1" applyFill="1" applyBorder="1" applyAlignment="1">
      <alignment horizontal="right" vertical="center" wrapText="1" indent="1"/>
    </xf>
    <xf numFmtId="174" fontId="74" fillId="0" borderId="1" xfId="54" applyNumberFormat="1" applyFont="1" applyFill="1" applyBorder="1" applyAlignment="1">
      <alignment horizontal="center" vertical="center" wrapText="1"/>
    </xf>
    <xf numFmtId="174" fontId="74" fillId="0" borderId="1" xfId="55" applyNumberFormat="1" applyFont="1" applyFill="1" applyBorder="1" applyAlignment="1">
      <alignment horizontal="right" vertical="center" wrapText="1"/>
    </xf>
    <xf numFmtId="174" fontId="74" fillId="0" borderId="9" xfId="55" applyNumberFormat="1" applyFont="1" applyFill="1" applyBorder="1" applyAlignment="1">
      <alignment horizontal="right" vertical="center" wrapText="1"/>
    </xf>
    <xf numFmtId="174" fontId="108" fillId="0" borderId="1" xfId="54" applyNumberFormat="1" applyFont="1" applyFill="1" applyBorder="1" applyAlignment="1">
      <alignment horizontal="center" vertical="center" wrapText="1"/>
    </xf>
    <xf numFmtId="174" fontId="108" fillId="0" borderId="1" xfId="55" applyNumberFormat="1" applyFont="1" applyFill="1" applyBorder="1" applyAlignment="1">
      <alignment horizontal="right" vertical="center" wrapText="1"/>
    </xf>
    <xf numFmtId="174" fontId="108" fillId="0" borderId="9" xfId="55" applyNumberFormat="1" applyFont="1" applyFill="1" applyBorder="1" applyAlignment="1">
      <alignment horizontal="right" vertical="center" wrapText="1"/>
    </xf>
    <xf numFmtId="174" fontId="109" fillId="0" borderId="1" xfId="54" applyNumberFormat="1" applyFont="1" applyFill="1" applyBorder="1" applyAlignment="1">
      <alignment horizontal="center" vertical="center" wrapText="1"/>
    </xf>
    <xf numFmtId="174" fontId="108" fillId="0" borderId="23" xfId="55" applyNumberFormat="1" applyFont="1" applyFill="1" applyBorder="1" applyAlignment="1">
      <alignment horizontal="right" vertical="center" wrapText="1"/>
    </xf>
    <xf numFmtId="174" fontId="108" fillId="0" borderId="34" xfId="55" applyNumberFormat="1" applyFont="1" applyFill="1" applyBorder="1" applyAlignment="1">
      <alignment horizontal="right" vertical="center" wrapText="1"/>
    </xf>
    <xf numFmtId="174" fontId="74" fillId="0" borderId="4" xfId="55" applyNumberFormat="1" applyFont="1" applyFill="1" applyBorder="1" applyAlignment="1">
      <alignment horizontal="right" vertical="center" wrapText="1"/>
    </xf>
    <xf numFmtId="174" fontId="74" fillId="0" borderId="3" xfId="55" applyNumberFormat="1" applyFont="1" applyFill="1" applyBorder="1" applyAlignment="1">
      <alignment horizontal="right" vertical="center" wrapText="1"/>
    </xf>
    <xf numFmtId="184" fontId="10" fillId="0" borderId="1" xfId="24" applyNumberFormat="1" applyFont="1" applyFill="1" applyBorder="1" applyAlignment="1">
      <alignment horizontal="center" vertical="center" wrapText="1"/>
    </xf>
    <xf numFmtId="184" fontId="55" fillId="0" borderId="1" xfId="24" applyNumberFormat="1" applyFont="1" applyFill="1" applyBorder="1" applyAlignment="1">
      <alignment horizontal="center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11" fillId="0" borderId="37" xfId="24" applyNumberFormat="1" applyFont="1" applyFill="1" applyBorder="1" applyAlignment="1">
      <alignment horizontal="right" vertical="center" wrapText="1"/>
    </xf>
    <xf numFmtId="184" fontId="12" fillId="0" borderId="1" xfId="27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4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4" fontId="13" fillId="0" borderId="67" xfId="46" applyNumberFormat="1" applyFont="1" applyFill="1" applyBorder="1" applyAlignment="1">
      <alignment horizontal="right" indent="1"/>
    </xf>
    <xf numFmtId="176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3" fontId="13" fillId="0" borderId="67" xfId="46" applyNumberFormat="1" applyFont="1" applyFill="1" applyBorder="1" applyAlignment="1">
      <alignment horizontal="right" indent="1"/>
    </xf>
    <xf numFmtId="0" fontId="11" fillId="0" borderId="67" xfId="9" applyFont="1" applyFill="1" applyBorder="1" applyAlignment="1">
      <alignment horizontal="left"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4" xfId="9" applyFont="1" applyFill="1" applyBorder="1" applyAlignment="1">
      <alignment vertical="center" wrapText="1"/>
    </xf>
    <xf numFmtId="168" fontId="11" fillId="0" borderId="15" xfId="9" applyNumberFormat="1" applyFont="1" applyFill="1" applyBorder="1" applyAlignment="1">
      <alignment horizontal="center" vertical="center" wrapText="1"/>
    </xf>
    <xf numFmtId="168" fontId="12" fillId="0" borderId="60" xfId="9" applyNumberFormat="1" applyFont="1" applyFill="1" applyBorder="1" applyAlignment="1">
      <alignment horizontal="center" vertical="center" wrapText="1"/>
    </xf>
    <xf numFmtId="168" fontId="11" fillId="0" borderId="60" xfId="9" applyNumberFormat="1" applyFont="1" applyFill="1" applyBorder="1" applyAlignment="1">
      <alignment horizontal="center" vertical="center" wrapText="1"/>
    </xf>
    <xf numFmtId="168" fontId="12" fillId="0" borderId="28" xfId="9" applyNumberFormat="1" applyFont="1" applyFill="1" applyBorder="1" applyAlignment="1">
      <alignment horizontal="center" vertical="center" wrapText="1"/>
    </xf>
    <xf numFmtId="0" fontId="11" fillId="0" borderId="69" xfId="9" applyFont="1" applyFill="1" applyBorder="1" applyAlignment="1">
      <alignment horizontal="left" vertical="center" wrapText="1"/>
    </xf>
    <xf numFmtId="0" fontId="11" fillId="0" borderId="70" xfId="9" applyFont="1" applyFill="1" applyBorder="1" applyAlignment="1">
      <alignment horizontal="left" vertical="center" wrapText="1"/>
    </xf>
    <xf numFmtId="0" fontId="12" fillId="0" borderId="67" xfId="9" applyFont="1" applyFill="1" applyBorder="1" applyAlignment="1">
      <alignment horizontal="left" vertical="center" wrapText="1"/>
    </xf>
    <xf numFmtId="0" fontId="11" fillId="0" borderId="71" xfId="9" applyFont="1" applyFill="1" applyBorder="1" applyAlignment="1">
      <alignment horizontal="left" vertical="center" wrapText="1"/>
    </xf>
    <xf numFmtId="0" fontId="11" fillId="0" borderId="72" xfId="9" applyFont="1" applyFill="1" applyBorder="1" applyAlignment="1">
      <alignment horizontal="left" vertical="center" wrapText="1"/>
    </xf>
    <xf numFmtId="0" fontId="12" fillId="0" borderId="66" xfId="9" applyFont="1" applyFill="1" applyBorder="1" applyAlignment="1">
      <alignment horizontal="left" vertical="center" wrapText="1"/>
    </xf>
    <xf numFmtId="168" fontId="11" fillId="0" borderId="16" xfId="9" applyNumberFormat="1" applyFont="1" applyFill="1" applyBorder="1" applyAlignment="1">
      <alignment horizontal="center" vertical="center" wrapText="1"/>
    </xf>
    <xf numFmtId="168" fontId="12" fillId="0" borderId="46" xfId="9" applyNumberFormat="1" applyFont="1" applyFill="1" applyBorder="1" applyAlignment="1">
      <alignment horizontal="center" vertical="center" wrapText="1"/>
    </xf>
    <xf numFmtId="168" fontId="11" fillId="0" borderId="46" xfId="9" applyNumberFormat="1" applyFont="1" applyFill="1" applyBorder="1" applyAlignment="1">
      <alignment horizontal="center" vertical="center" wrapText="1"/>
    </xf>
    <xf numFmtId="168" fontId="11" fillId="0" borderId="0" xfId="9" applyNumberFormat="1" applyFont="1" applyFill="1" applyBorder="1" applyAlignment="1">
      <alignment horizontal="center" vertical="center" wrapText="1"/>
    </xf>
    <xf numFmtId="168" fontId="12" fillId="0" borderId="51" xfId="9" applyNumberFormat="1" applyFont="1" applyFill="1" applyBorder="1" applyAlignment="1">
      <alignment horizontal="center" vertical="center" wrapText="1"/>
    </xf>
    <xf numFmtId="168" fontId="12" fillId="0" borderId="54" xfId="9" applyNumberFormat="1" applyFont="1" applyFill="1" applyBorder="1" applyAlignment="1">
      <alignment horizontal="center" vertical="center" wrapText="1"/>
    </xf>
    <xf numFmtId="168" fontId="11" fillId="0" borderId="47" xfId="9" applyNumberFormat="1" applyFont="1" applyFill="1" applyBorder="1" applyAlignment="1">
      <alignment horizontal="center" vertical="center" wrapText="1"/>
    </xf>
    <xf numFmtId="168" fontId="11" fillId="0" borderId="70" xfId="9" applyNumberFormat="1" applyFont="1" applyFill="1" applyBorder="1" applyAlignment="1">
      <alignment horizontal="center" vertical="center" wrapText="1"/>
    </xf>
    <xf numFmtId="168" fontId="11" fillId="0" borderId="72" xfId="9" applyNumberFormat="1" applyFont="1" applyFill="1" applyBorder="1" applyAlignment="1">
      <alignment horizontal="center" vertical="center" wrapText="1"/>
    </xf>
    <xf numFmtId="168" fontId="11" fillId="0" borderId="67" xfId="9" applyNumberFormat="1" applyFont="1" applyFill="1" applyBorder="1" applyAlignment="1">
      <alignment horizontal="center" vertical="center" wrapText="1"/>
    </xf>
    <xf numFmtId="168" fontId="12" fillId="0" borderId="66" xfId="9" applyNumberFormat="1" applyFont="1" applyFill="1" applyBorder="1" applyAlignment="1">
      <alignment horizontal="center" vertical="center" wrapText="1"/>
    </xf>
    <xf numFmtId="168" fontId="12" fillId="0" borderId="69" xfId="9" applyNumberFormat="1" applyFont="1" applyFill="1" applyBorder="1" applyAlignment="1">
      <alignment horizontal="center" vertical="center" wrapText="1"/>
    </xf>
    <xf numFmtId="168" fontId="12" fillId="0" borderId="16" xfId="9" applyNumberFormat="1" applyFont="1" applyFill="1" applyBorder="1" applyAlignment="1">
      <alignment horizontal="center" vertical="center" wrapText="1"/>
    </xf>
    <xf numFmtId="168" fontId="12" fillId="0" borderId="70" xfId="9" applyNumberFormat="1" applyFont="1" applyFill="1" applyBorder="1" applyAlignment="1">
      <alignment horizontal="center" vertical="center" wrapText="1"/>
    </xf>
    <xf numFmtId="168" fontId="11" fillId="0" borderId="10" xfId="9" applyNumberFormat="1" applyFont="1" applyFill="1" applyBorder="1" applyAlignment="1">
      <alignment horizontal="center" vertical="center" wrapText="1"/>
    </xf>
    <xf numFmtId="168" fontId="11" fillId="0" borderId="71" xfId="9" applyNumberFormat="1" applyFont="1" applyFill="1" applyBorder="1" applyAlignment="1">
      <alignment horizontal="center" vertical="center" wrapText="1"/>
    </xf>
    <xf numFmtId="183" fontId="88" fillId="0" borderId="0" xfId="7" applyNumberFormat="1" applyFont="1" applyFill="1" applyAlignment="1">
      <alignment horizontal="right" indent="1"/>
    </xf>
    <xf numFmtId="183" fontId="88" fillId="0" borderId="0" xfId="7" applyNumberFormat="1" applyFont="1" applyFill="1" applyAlignment="1"/>
    <xf numFmtId="183" fontId="88" fillId="0" borderId="0" xfId="7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 indent="1"/>
    </xf>
    <xf numFmtId="183" fontId="24" fillId="0" borderId="0" xfId="8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24" applyNumberFormat="1" applyFont="1" applyFill="1" applyAlignment="1">
      <alignment horizontal="right"/>
    </xf>
    <xf numFmtId="183" fontId="110" fillId="0" borderId="0" xfId="24" applyNumberFormat="1" applyFont="1" applyFill="1" applyAlignment="1">
      <alignment horizontal="right" indent="1"/>
    </xf>
    <xf numFmtId="183" fontId="110" fillId="0" borderId="0" xfId="24" applyNumberFormat="1" applyFont="1" applyFill="1" applyAlignment="1">
      <alignment horizontal="right"/>
    </xf>
    <xf numFmtId="183" fontId="110" fillId="0" borderId="0" xfId="3" applyNumberFormat="1" applyFont="1" applyFill="1"/>
    <xf numFmtId="183" fontId="110" fillId="0" borderId="0" xfId="3" applyNumberFormat="1" applyFont="1" applyFill="1" applyAlignment="1">
      <alignment horizontal="center" vertical="center"/>
    </xf>
    <xf numFmtId="183" fontId="24" fillId="0" borderId="0" xfId="9" applyNumberFormat="1" applyFont="1" applyFill="1" applyAlignment="1">
      <alignment vertical="center"/>
    </xf>
    <xf numFmtId="183" fontId="110" fillId="0" borderId="0" xfId="24" applyNumberFormat="1" applyFont="1" applyFill="1" applyAlignment="1">
      <alignment horizontal="center" vertical="center"/>
    </xf>
    <xf numFmtId="183" fontId="110" fillId="0" borderId="0" xfId="24" applyNumberFormat="1" applyFont="1" applyFill="1"/>
    <xf numFmtId="183" fontId="110" fillId="0" borderId="0" xfId="3" applyNumberFormat="1" applyFont="1" applyFill="1" applyBorder="1" applyAlignment="1">
      <alignment horizontal="center"/>
    </xf>
    <xf numFmtId="183" fontId="110" fillId="0" borderId="0" xfId="3" applyNumberFormat="1" applyFont="1" applyFill="1" applyAlignment="1">
      <alignment horizontal="right" indent="1"/>
    </xf>
    <xf numFmtId="183" fontId="24" fillId="0" borderId="0" xfId="24" applyNumberFormat="1" applyFont="1" applyFill="1" applyAlignment="1">
      <alignment horizontal="right" indent="1"/>
    </xf>
    <xf numFmtId="183" fontId="24" fillId="0" borderId="67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center" vertical="center" wrapText="1"/>
    </xf>
    <xf numFmtId="183" fontId="110" fillId="0" borderId="25" xfId="5" applyNumberFormat="1" applyFont="1" applyFill="1" applyBorder="1" applyAlignment="1">
      <alignment horizontal="center" vertical="center" wrapText="1"/>
    </xf>
    <xf numFmtId="183" fontId="110" fillId="0" borderId="27" xfId="3" applyNumberFormat="1" applyFont="1" applyFill="1" applyBorder="1"/>
    <xf numFmtId="183" fontId="24" fillId="0" borderId="31" xfId="5" applyNumberFormat="1" applyFont="1" applyFill="1" applyBorder="1" applyAlignment="1">
      <alignment horizontal="right" vertical="center" wrapText="1" indent="1"/>
    </xf>
    <xf numFmtId="183" fontId="24" fillId="0" borderId="67" xfId="5" applyNumberFormat="1" applyFont="1" applyFill="1" applyBorder="1" applyAlignment="1">
      <alignment horizontal="center" vertical="center" wrapText="1"/>
    </xf>
    <xf numFmtId="183" fontId="24" fillId="0" borderId="72" xfId="5" applyNumberFormat="1" applyFont="1" applyFill="1" applyBorder="1" applyAlignment="1">
      <alignment horizontal="right" vertical="center" wrapText="1" indent="1"/>
    </xf>
    <xf numFmtId="183" fontId="110" fillId="0" borderId="15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/>
    </xf>
    <xf numFmtId="183" fontId="110" fillId="0" borderId="0" xfId="3" applyNumberFormat="1" applyFont="1" applyFill="1" applyBorder="1"/>
    <xf numFmtId="183" fontId="24" fillId="0" borderId="37" xfId="5" applyNumberFormat="1" applyFont="1" applyFill="1" applyBorder="1" applyAlignment="1">
      <alignment horizontal="right" vertical="center" wrapText="1" indent="1"/>
    </xf>
    <xf numFmtId="183" fontId="110" fillId="0" borderId="60" xfId="5" applyNumberFormat="1" applyFont="1" applyFill="1" applyBorder="1" applyAlignment="1">
      <alignment horizontal="right" vertical="center" wrapText="1"/>
    </xf>
    <xf numFmtId="183" fontId="110" fillId="0" borderId="31" xfId="5" applyNumberFormat="1" applyFont="1" applyFill="1" applyBorder="1" applyAlignment="1">
      <alignment horizontal="right" vertical="center" wrapText="1"/>
    </xf>
    <xf numFmtId="183" fontId="110" fillId="0" borderId="32" xfId="5" applyNumberFormat="1" applyFont="1" applyFill="1" applyBorder="1" applyAlignment="1">
      <alignment horizontal="right" vertical="center" wrapText="1"/>
    </xf>
    <xf numFmtId="183" fontId="24" fillId="0" borderId="71" xfId="5" applyNumberFormat="1" applyFont="1" applyFill="1" applyBorder="1" applyAlignment="1">
      <alignment horizontal="right" vertical="center" wrapText="1" indent="1"/>
    </xf>
    <xf numFmtId="183" fontId="110" fillId="0" borderId="18" xfId="5" applyNumberFormat="1" applyFont="1" applyFill="1" applyBorder="1" applyAlignment="1">
      <alignment horizontal="right" vertical="center" wrapText="1"/>
    </xf>
    <xf numFmtId="183" fontId="110" fillId="0" borderId="2" xfId="5" applyNumberFormat="1" applyFont="1" applyFill="1" applyBorder="1" applyAlignment="1">
      <alignment horizontal="right" vertical="center" wrapText="1"/>
    </xf>
    <xf numFmtId="183" fontId="111" fillId="0" borderId="0" xfId="3" applyNumberFormat="1" applyFont="1" applyFill="1" applyBorder="1"/>
    <xf numFmtId="183" fontId="24" fillId="0" borderId="20" xfId="5" applyNumberFormat="1" applyFont="1" applyFill="1" applyBorder="1" applyAlignment="1">
      <alignment horizontal="right" vertical="center" wrapText="1" indent="1"/>
    </xf>
    <xf numFmtId="183" fontId="24" fillId="0" borderId="19" xfId="5" applyNumberFormat="1" applyFont="1" applyFill="1" applyBorder="1" applyAlignment="1">
      <alignment horizontal="right" vertical="center" indent="1"/>
    </xf>
    <xf numFmtId="183" fontId="110" fillId="0" borderId="7" xfId="5" applyNumberFormat="1" applyFont="1" applyFill="1" applyBorder="1" applyAlignment="1">
      <alignment horizontal="right" vertical="center"/>
    </xf>
    <xf numFmtId="183" fontId="110" fillId="0" borderId="1" xfId="5" applyNumberFormat="1" applyFont="1" applyFill="1" applyBorder="1" applyAlignment="1">
      <alignment horizontal="right" vertical="center"/>
    </xf>
    <xf numFmtId="183" fontId="24" fillId="0" borderId="9" xfId="5" applyNumberFormat="1" applyFont="1" applyFill="1" applyBorder="1" applyAlignment="1">
      <alignment horizontal="right" vertical="center" indent="1"/>
    </xf>
    <xf numFmtId="183" fontId="110" fillId="0" borderId="9" xfId="5" applyNumberFormat="1" applyFont="1" applyFill="1" applyBorder="1" applyAlignment="1">
      <alignment horizontal="right" vertical="center"/>
    </xf>
    <xf numFmtId="183" fontId="24" fillId="0" borderId="19" xfId="34" applyNumberFormat="1" applyFont="1" applyFill="1" applyBorder="1" applyAlignment="1">
      <alignment horizontal="right" vertical="center" wrapText="1" indent="1"/>
    </xf>
    <xf numFmtId="183" fontId="112" fillId="0" borderId="0" xfId="3" applyNumberFormat="1" applyFont="1" applyFill="1" applyBorder="1"/>
    <xf numFmtId="183" fontId="24" fillId="0" borderId="9" xfId="34" applyNumberFormat="1" applyFont="1" applyFill="1" applyBorder="1" applyAlignment="1">
      <alignment horizontal="right" vertical="center" wrapText="1" indent="1"/>
    </xf>
    <xf numFmtId="183" fontId="110" fillId="0" borderId="14" xfId="5" applyNumberFormat="1" applyFont="1" applyFill="1" applyBorder="1" applyAlignment="1">
      <alignment horizontal="right" vertical="center"/>
    </xf>
    <xf numFmtId="183" fontId="24" fillId="0" borderId="70" xfId="5" applyNumberFormat="1" applyFont="1" applyFill="1" applyBorder="1" applyAlignment="1">
      <alignment horizontal="right" vertical="center" indent="1"/>
    </xf>
    <xf numFmtId="183" fontId="110" fillId="0" borderId="15" xfId="5" applyNumberFormat="1" applyFont="1" applyFill="1" applyBorder="1" applyAlignment="1">
      <alignment horizontal="right" vertical="center"/>
    </xf>
    <xf numFmtId="183" fontId="110" fillId="0" borderId="34" xfId="5" applyNumberFormat="1" applyFont="1" applyFill="1" applyBorder="1" applyAlignment="1">
      <alignment horizontal="right" vertical="center"/>
    </xf>
    <xf numFmtId="183" fontId="24" fillId="0" borderId="34" xfId="5" applyNumberFormat="1" applyFont="1" applyFill="1" applyBorder="1" applyAlignment="1">
      <alignment horizontal="right" vertical="center" indent="1"/>
    </xf>
    <xf numFmtId="183" fontId="110" fillId="0" borderId="12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/>
    </xf>
    <xf numFmtId="183" fontId="24" fillId="0" borderId="69" xfId="5" applyNumberFormat="1" applyFont="1" applyFill="1" applyBorder="1" applyAlignment="1">
      <alignment horizontal="right" vertical="center" indent="1"/>
    </xf>
    <xf numFmtId="183" fontId="110" fillId="0" borderId="28" xfId="5" applyNumberFormat="1" applyFont="1" applyFill="1" applyBorder="1" applyAlignment="1">
      <alignment horizontal="right" vertical="center"/>
    </xf>
    <xf numFmtId="183" fontId="110" fillId="0" borderId="26" xfId="5" applyNumberFormat="1" applyFont="1" applyFill="1" applyBorder="1" applyAlignment="1">
      <alignment horizontal="right" vertical="center"/>
    </xf>
    <xf numFmtId="183" fontId="24" fillId="0" borderId="25" xfId="5" applyNumberFormat="1" applyFont="1" applyFill="1" applyBorder="1" applyAlignment="1">
      <alignment horizontal="right" vertical="center" indent="1"/>
    </xf>
    <xf numFmtId="183" fontId="24" fillId="0" borderId="19" xfId="5" applyNumberFormat="1" applyFont="1" applyFill="1" applyBorder="1" applyAlignment="1">
      <alignment horizontal="right" vertical="center" wrapText="1" indent="1"/>
    </xf>
    <xf numFmtId="183" fontId="110" fillId="0" borderId="7" xfId="5" applyNumberFormat="1" applyFont="1" applyFill="1" applyBorder="1" applyAlignment="1">
      <alignment horizontal="right" vertical="center" wrapText="1"/>
    </xf>
    <xf numFmtId="183" fontId="110" fillId="0" borderId="9" xfId="5" applyNumberFormat="1" applyFont="1" applyFill="1" applyBorder="1" applyAlignment="1">
      <alignment horizontal="right" vertical="center" wrapText="1"/>
    </xf>
    <xf numFmtId="183" fontId="24" fillId="0" borderId="9" xfId="5" applyNumberFormat="1" applyFont="1" applyFill="1" applyBorder="1" applyAlignment="1">
      <alignment horizontal="right" vertical="center" wrapText="1" indent="1"/>
    </xf>
    <xf numFmtId="183" fontId="24" fillId="0" borderId="19" xfId="14" applyNumberFormat="1" applyFont="1" applyFill="1" applyBorder="1" applyAlignment="1">
      <alignment horizontal="right" vertical="center" indent="1"/>
    </xf>
    <xf numFmtId="183" fontId="110" fillId="0" borderId="7" xfId="14" applyNumberFormat="1" applyFont="1" applyFill="1" applyBorder="1" applyAlignment="1">
      <alignment horizontal="right" vertical="center"/>
    </xf>
    <xf numFmtId="183" fontId="110" fillId="0" borderId="1" xfId="14" applyNumberFormat="1" applyFont="1" applyFill="1" applyBorder="1" applyAlignment="1">
      <alignment horizontal="right" vertical="center"/>
    </xf>
    <xf numFmtId="183" fontId="24" fillId="0" borderId="9" xfId="14" applyNumberFormat="1" applyFont="1" applyFill="1" applyBorder="1" applyAlignment="1">
      <alignment horizontal="right" vertical="center" indent="1"/>
    </xf>
    <xf numFmtId="183" fontId="110" fillId="0" borderId="1" xfId="5" applyNumberFormat="1" applyFont="1" applyFill="1" applyBorder="1" applyAlignment="1">
      <alignment horizontal="right" vertical="center" wrapText="1"/>
    </xf>
    <xf numFmtId="183" fontId="110" fillId="0" borderId="14" xfId="5" applyNumberFormat="1" applyFont="1" applyFill="1" applyBorder="1" applyAlignment="1">
      <alignment horizontal="right" vertical="center" wrapText="1"/>
    </xf>
    <xf numFmtId="174" fontId="24" fillId="0" borderId="19" xfId="5" applyNumberFormat="1" applyFont="1" applyFill="1" applyBorder="1" applyAlignment="1">
      <alignment horizontal="right" vertical="center" wrapText="1" indent="1"/>
    </xf>
    <xf numFmtId="174" fontId="110" fillId="0" borderId="7" xfId="5" applyNumberFormat="1" applyFont="1" applyFill="1" applyBorder="1" applyAlignment="1">
      <alignment horizontal="right" vertical="center" wrapText="1"/>
    </xf>
    <xf numFmtId="174" fontId="110" fillId="0" borderId="9" xfId="5" applyNumberFormat="1" applyFont="1" applyFill="1" applyBorder="1" applyAlignment="1">
      <alignment horizontal="right" vertical="center" wrapText="1"/>
    </xf>
    <xf numFmtId="174" fontId="110" fillId="0" borderId="0" xfId="3" applyNumberFormat="1" applyFont="1" applyFill="1" applyBorder="1"/>
    <xf numFmtId="174" fontId="24" fillId="0" borderId="9" xfId="5" applyNumberFormat="1" applyFont="1" applyFill="1" applyBorder="1" applyAlignment="1">
      <alignment horizontal="right" vertical="center" wrapText="1" indent="1"/>
    </xf>
    <xf numFmtId="174" fontId="110" fillId="0" borderId="0" xfId="3" applyNumberFormat="1" applyFont="1" applyFill="1" applyBorder="1" applyAlignment="1">
      <alignment horizontal="right" indent="1"/>
    </xf>
    <xf numFmtId="183" fontId="21" fillId="0" borderId="19" xfId="9" applyNumberFormat="1" applyFont="1" applyFill="1" applyBorder="1" applyAlignment="1">
      <alignment horizontal="right" vertical="center" wrapText="1" indent="1"/>
    </xf>
    <xf numFmtId="183" fontId="21" fillId="0" borderId="64" xfId="9" applyNumberFormat="1" applyFont="1" applyFill="1" applyBorder="1" applyAlignment="1">
      <alignment horizontal="right" vertical="center" wrapText="1" indent="1"/>
    </xf>
    <xf numFmtId="183" fontId="113" fillId="0" borderId="19" xfId="5" applyNumberFormat="1" applyFont="1" applyFill="1" applyBorder="1" applyAlignment="1">
      <alignment horizontal="right" vertical="center" wrapText="1" indent="1"/>
    </xf>
    <xf numFmtId="183" fontId="110" fillId="0" borderId="9" xfId="14" applyNumberFormat="1" applyFont="1" applyFill="1" applyBorder="1" applyAlignment="1">
      <alignment horizontal="right" vertical="center"/>
    </xf>
    <xf numFmtId="183" fontId="24" fillId="0" borderId="6" xfId="5" applyNumberFormat="1" applyFont="1" applyFill="1" applyBorder="1" applyAlignment="1">
      <alignment horizontal="right" vertical="center" wrapText="1" indent="1"/>
    </xf>
    <xf numFmtId="183" fontId="21" fillId="0" borderId="19" xfId="46" applyNumberFormat="1" applyFont="1" applyFill="1" applyBorder="1" applyAlignment="1">
      <alignment horizontal="right" vertical="center" wrapText="1" indent="1"/>
    </xf>
    <xf numFmtId="183" fontId="21" fillId="0" borderId="7" xfId="34" applyNumberFormat="1" applyFont="1" applyFill="1" applyBorder="1" applyAlignment="1">
      <alignment horizontal="right" vertical="center" wrapText="1"/>
    </xf>
    <xf numFmtId="183" fontId="21" fillId="0" borderId="1" xfId="34" applyNumberFormat="1" applyFont="1" applyFill="1" applyBorder="1" applyAlignment="1">
      <alignment horizontal="right" vertical="center" wrapText="1"/>
    </xf>
    <xf numFmtId="183" fontId="21" fillId="0" borderId="14" xfId="9" applyNumberFormat="1" applyFont="1" applyFill="1" applyBorder="1" applyAlignment="1">
      <alignment horizontal="right" vertical="center" wrapText="1"/>
    </xf>
    <xf numFmtId="183" fontId="21" fillId="0" borderId="19" xfId="9" applyNumberFormat="1" applyFont="1" applyFill="1" applyBorder="1" applyAlignment="1">
      <alignment horizontal="right" vertical="center" wrapText="1"/>
    </xf>
    <xf numFmtId="183" fontId="21" fillId="0" borderId="19" xfId="46" applyNumberFormat="1" applyFont="1" applyFill="1" applyBorder="1" applyAlignment="1">
      <alignment vertical="center" wrapText="1"/>
    </xf>
    <xf numFmtId="183" fontId="21" fillId="0" borderId="14" xfId="34" applyNumberFormat="1" applyFont="1" applyFill="1" applyBorder="1" applyAlignment="1">
      <alignment horizontal="right" vertical="center" wrapText="1"/>
    </xf>
    <xf numFmtId="183" fontId="21" fillId="0" borderId="0" xfId="9" applyNumberFormat="1" applyFont="1" applyFill="1" applyBorder="1" applyAlignment="1">
      <alignment horizontal="right" vertical="center" wrapText="1"/>
    </xf>
    <xf numFmtId="183" fontId="21" fillId="0" borderId="0" xfId="46" applyNumberFormat="1" applyFont="1" applyFill="1" applyBorder="1" applyAlignment="1">
      <alignment vertical="center" wrapText="1"/>
    </xf>
    <xf numFmtId="183" fontId="114" fillId="0" borderId="19" xfId="5" applyNumberFormat="1" applyFont="1" applyFill="1" applyBorder="1" applyAlignment="1">
      <alignment horizontal="right" vertical="center" wrapText="1" indent="1"/>
    </xf>
    <xf numFmtId="183" fontId="115" fillId="0" borderId="7" xfId="5" applyNumberFormat="1" applyFont="1" applyFill="1" applyBorder="1" applyAlignment="1">
      <alignment horizontal="right" vertical="center" wrapText="1"/>
    </xf>
    <xf numFmtId="183" fontId="115" fillId="0" borderId="9" xfId="5" applyNumberFormat="1" applyFont="1" applyFill="1" applyBorder="1" applyAlignment="1">
      <alignment horizontal="right" vertical="center" wrapText="1"/>
    </xf>
    <xf numFmtId="183" fontId="115" fillId="0" borderId="0" xfId="3" applyNumberFormat="1" applyFont="1" applyFill="1" applyBorder="1"/>
    <xf numFmtId="183" fontId="114" fillId="0" borderId="9" xfId="5" applyNumberFormat="1" applyFont="1" applyFill="1" applyBorder="1" applyAlignment="1">
      <alignment horizontal="right" vertical="center" wrapText="1" indent="1"/>
    </xf>
    <xf numFmtId="183" fontId="24" fillId="0" borderId="70" xfId="5" applyNumberFormat="1" applyFont="1" applyFill="1" applyBorder="1" applyAlignment="1">
      <alignment horizontal="right" vertical="center" wrapText="1" indent="1"/>
    </xf>
    <xf numFmtId="183" fontId="24" fillId="0" borderId="34" xfId="5" applyNumberFormat="1" applyFont="1" applyFill="1" applyBorder="1" applyAlignment="1">
      <alignment horizontal="right" vertical="center" wrapText="1" indent="1"/>
    </xf>
    <xf numFmtId="183" fontId="24" fillId="0" borderId="66" xfId="5" applyNumberFormat="1" applyFont="1" applyFill="1" applyBorder="1" applyAlignment="1">
      <alignment horizontal="right" vertical="center" wrapText="1" indent="1"/>
    </xf>
    <xf numFmtId="183" fontId="24" fillId="0" borderId="3" xfId="5" applyNumberFormat="1" applyFont="1" applyFill="1" applyBorder="1" applyAlignment="1">
      <alignment horizontal="right" vertical="center" wrapText="1" indent="1"/>
    </xf>
    <xf numFmtId="183" fontId="110" fillId="0" borderId="71" xfId="5" applyNumberFormat="1" applyFont="1" applyFill="1" applyBorder="1" applyAlignment="1">
      <alignment horizontal="right" vertical="center" wrapText="1" indent="1"/>
    </xf>
    <xf numFmtId="183" fontId="110" fillId="0" borderId="2" xfId="5" applyNumberFormat="1" applyFont="1" applyFill="1" applyBorder="1" applyAlignment="1">
      <alignment horizontal="right" vertical="center" wrapText="1" indent="1"/>
    </xf>
    <xf numFmtId="183" fontId="110" fillId="0" borderId="19" xfId="5" applyNumberFormat="1" applyFont="1" applyFill="1" applyBorder="1" applyAlignment="1">
      <alignment horizontal="right" vertical="center" wrapText="1" indent="1"/>
    </xf>
    <xf numFmtId="183" fontId="110" fillId="0" borderId="1" xfId="5" applyNumberFormat="1" applyFont="1" applyFill="1" applyBorder="1" applyAlignment="1">
      <alignment horizontal="right" vertical="center" wrapText="1" indent="1"/>
    </xf>
    <xf numFmtId="183" fontId="110" fillId="0" borderId="70" xfId="5" applyNumberFormat="1" applyFont="1" applyFill="1" applyBorder="1" applyAlignment="1">
      <alignment horizontal="right" vertical="center" wrapText="1" indent="1"/>
    </xf>
    <xf numFmtId="183" fontId="110" fillId="0" borderId="34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 indent="1"/>
    </xf>
    <xf numFmtId="183" fontId="110" fillId="0" borderId="72" xfId="5" applyNumberFormat="1" applyFont="1" applyFill="1" applyBorder="1" applyAlignment="1">
      <alignment horizontal="right" vertical="center" wrapText="1" indent="1"/>
    </xf>
    <xf numFmtId="183" fontId="110" fillId="0" borderId="37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 indent="1"/>
    </xf>
    <xf numFmtId="183" fontId="110" fillId="0" borderId="67" xfId="5" applyNumberFormat="1" applyFont="1" applyFill="1" applyBorder="1" applyAlignment="1">
      <alignment horizontal="right" vertical="center" wrapText="1" indent="1"/>
    </xf>
    <xf numFmtId="183" fontId="110" fillId="0" borderId="32" xfId="5" applyNumberFormat="1" applyFont="1" applyFill="1" applyBorder="1" applyAlignment="1">
      <alignment horizontal="right" vertical="center" wrapText="1" indent="1"/>
    </xf>
    <xf numFmtId="183" fontId="110" fillId="0" borderId="20" xfId="5" applyNumberFormat="1" applyFont="1" applyFill="1" applyBorder="1" applyAlignment="1">
      <alignment horizontal="right" vertical="center" wrapText="1"/>
    </xf>
    <xf numFmtId="183" fontId="24" fillId="0" borderId="1" xfId="5" applyNumberFormat="1" applyFont="1" applyFill="1" applyBorder="1" applyAlignment="1">
      <alignment horizontal="right" vertical="center" wrapText="1" indent="1"/>
    </xf>
    <xf numFmtId="183" fontId="110" fillId="0" borderId="46" xfId="3" applyNumberFormat="1" applyFont="1" applyFill="1" applyBorder="1"/>
    <xf numFmtId="183" fontId="24" fillId="0" borderId="70" xfId="34" applyNumberFormat="1" applyFont="1" applyFill="1" applyBorder="1" applyAlignment="1">
      <alignment horizontal="right" vertical="center" wrapText="1" indent="1"/>
    </xf>
    <xf numFmtId="183" fontId="110" fillId="0" borderId="65" xfId="5" applyNumberFormat="1" applyFont="1" applyFill="1" applyBorder="1" applyAlignment="1">
      <alignment horizontal="right" vertical="center"/>
    </xf>
    <xf numFmtId="183" fontId="24" fillId="0" borderId="34" xfId="34" applyNumberFormat="1" applyFont="1" applyFill="1" applyBorder="1" applyAlignment="1">
      <alignment horizontal="right" vertical="center" wrapText="1" indent="1"/>
    </xf>
    <xf numFmtId="183" fontId="24" fillId="0" borderId="66" xfId="34" applyNumberFormat="1" applyFont="1" applyFill="1" applyBorder="1" applyAlignment="1">
      <alignment horizontal="right" vertical="center" wrapText="1" indent="1"/>
    </xf>
    <xf numFmtId="183" fontId="110" fillId="0" borderId="59" xfId="5" applyNumberFormat="1" applyFont="1" applyFill="1" applyBorder="1" applyAlignment="1">
      <alignment horizontal="right" vertical="center"/>
    </xf>
    <xf numFmtId="183" fontId="110" fillId="0" borderId="74" xfId="5" applyNumberFormat="1" applyFont="1" applyFill="1" applyBorder="1" applyAlignment="1">
      <alignment horizontal="right" vertical="center"/>
    </xf>
    <xf numFmtId="183" fontId="112" fillId="0" borderId="38" xfId="3" applyNumberFormat="1" applyFont="1" applyFill="1" applyBorder="1"/>
    <xf numFmtId="183" fontId="110" fillId="0" borderId="38" xfId="3" applyNumberFormat="1" applyFont="1" applyFill="1" applyBorder="1"/>
    <xf numFmtId="183" fontId="24" fillId="0" borderId="3" xfId="34" applyNumberFormat="1" applyFont="1" applyFill="1" applyBorder="1" applyAlignment="1">
      <alignment horizontal="right" vertical="center" wrapText="1" indent="1"/>
    </xf>
    <xf numFmtId="183" fontId="24" fillId="0" borderId="69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right" vertical="center" wrapText="1"/>
    </xf>
    <xf numFmtId="183" fontId="110" fillId="0" borderId="26" xfId="5" applyNumberFormat="1" applyFont="1" applyFill="1" applyBorder="1" applyAlignment="1">
      <alignment horizontal="right" vertical="center" wrapText="1"/>
    </xf>
    <xf numFmtId="183" fontId="111" fillId="0" borderId="27" xfId="3" applyNumberFormat="1" applyFont="1" applyFill="1" applyBorder="1"/>
    <xf numFmtId="183" fontId="110" fillId="0" borderId="23" xfId="5" applyNumberFormat="1" applyFont="1" applyFill="1" applyBorder="1" applyAlignment="1">
      <alignment horizontal="right" vertical="center"/>
    </xf>
    <xf numFmtId="183" fontId="110" fillId="0" borderId="67" xfId="24" applyNumberFormat="1" applyFont="1" applyFill="1" applyBorder="1" applyAlignment="1">
      <alignment vertical="center"/>
    </xf>
    <xf numFmtId="183" fontId="110" fillId="0" borderId="84" xfId="24" applyNumberFormat="1" applyFont="1" applyFill="1" applyBorder="1" applyAlignment="1"/>
    <xf numFmtId="183" fontId="110" fillId="0" borderId="62" xfId="3" applyNumberFormat="1" applyFont="1" applyFill="1" applyBorder="1" applyAlignment="1"/>
    <xf numFmtId="183" fontId="110" fillId="0" borderId="76" xfId="3" applyNumberFormat="1" applyFont="1" applyFill="1" applyBorder="1" applyAlignment="1"/>
    <xf numFmtId="183" fontId="110" fillId="0" borderId="67" xfId="24" applyNumberFormat="1" applyFont="1" applyFill="1" applyBorder="1" applyAlignment="1"/>
    <xf numFmtId="183" fontId="110" fillId="0" borderId="84" xfId="3" applyNumberFormat="1" applyFont="1" applyFill="1" applyBorder="1" applyAlignment="1"/>
    <xf numFmtId="183" fontId="110" fillId="0" borderId="63" xfId="24" applyNumberFormat="1" applyFont="1" applyFill="1" applyBorder="1" applyAlignment="1">
      <alignment vertical="center"/>
    </xf>
    <xf numFmtId="183" fontId="110" fillId="0" borderId="33" xfId="24" applyNumberFormat="1" applyFont="1" applyFill="1" applyBorder="1" applyAlignment="1">
      <alignment vertical="center"/>
    </xf>
    <xf numFmtId="183" fontId="110" fillId="0" borderId="32" xfId="24" applyNumberFormat="1" applyFont="1" applyFill="1" applyBorder="1" applyAlignment="1">
      <alignment vertical="center"/>
    </xf>
    <xf numFmtId="183" fontId="110" fillId="0" borderId="32" xfId="3" applyNumberFormat="1" applyFont="1" applyFill="1" applyBorder="1" applyAlignment="1">
      <alignment vertical="center"/>
    </xf>
    <xf numFmtId="183" fontId="110" fillId="0" borderId="73" xfId="3" applyNumberFormat="1" applyFont="1" applyFill="1" applyBorder="1" applyAlignment="1">
      <alignment vertical="center"/>
    </xf>
    <xf numFmtId="183" fontId="110" fillId="0" borderId="60" xfId="3" applyNumberFormat="1" applyFont="1" applyFill="1" applyBorder="1" applyAlignment="1">
      <alignment vertical="center"/>
    </xf>
    <xf numFmtId="183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3" fontId="8" fillId="0" borderId="0" xfId="24" applyNumberFormat="1" applyFont="1" applyFill="1" applyAlignment="1">
      <alignment horizontal="right" indent="1"/>
    </xf>
    <xf numFmtId="183" fontId="8" fillId="0" borderId="0" xfId="24" applyNumberFormat="1" applyFont="1" applyFill="1" applyAlignment="1">
      <alignment horizontal="right"/>
    </xf>
    <xf numFmtId="183" fontId="8" fillId="0" borderId="0" xfId="3" applyNumberFormat="1" applyFont="1" applyFill="1"/>
    <xf numFmtId="183" fontId="35" fillId="0" borderId="0" xfId="7" applyNumberFormat="1" applyFont="1" applyFill="1" applyAlignment="1"/>
    <xf numFmtId="183" fontId="35" fillId="0" borderId="0" xfId="7" applyNumberFormat="1" applyFont="1" applyFill="1" applyAlignment="1">
      <alignment horizontal="right"/>
    </xf>
    <xf numFmtId="183" fontId="8" fillId="0" borderId="0" xfId="3" applyNumberFormat="1" applyFont="1" applyFill="1" applyAlignment="1">
      <alignment horizontal="center" vertical="center"/>
    </xf>
    <xf numFmtId="183" fontId="31" fillId="0" borderId="0" xfId="8" applyNumberFormat="1" applyFont="1" applyFill="1" applyAlignment="1">
      <alignment horizontal="right"/>
    </xf>
    <xf numFmtId="183" fontId="31" fillId="0" borderId="0" xfId="9" applyNumberFormat="1" applyFont="1" applyFill="1" applyAlignment="1">
      <alignment horizontal="right" vertical="center"/>
    </xf>
    <xf numFmtId="183" fontId="11" fillId="0" borderId="0" xfId="9" applyNumberFormat="1" applyFont="1" applyFill="1" applyAlignment="1">
      <alignment horizontal="right" vertical="center" indent="1"/>
    </xf>
    <xf numFmtId="183" fontId="11" fillId="0" borderId="0" xfId="9" applyNumberFormat="1" applyFont="1" applyFill="1" applyAlignment="1">
      <alignment vertical="center"/>
    </xf>
    <xf numFmtId="183" fontId="13" fillId="0" borderId="0" xfId="24" applyNumberFormat="1" applyFont="1" applyFill="1" applyAlignment="1">
      <alignment horizontal="right" indent="1"/>
    </xf>
    <xf numFmtId="183" fontId="13" fillId="0" borderId="0" xfId="24" applyNumberFormat="1" applyFont="1" applyFill="1" applyAlignment="1">
      <alignment horizontal="center" vertical="center"/>
    </xf>
    <xf numFmtId="183" fontId="13" fillId="0" borderId="0" xfId="24" applyNumberFormat="1" applyFont="1" applyFill="1" applyAlignment="1">
      <alignment horizontal="right"/>
    </xf>
    <xf numFmtId="183" fontId="13" fillId="0" borderId="0" xfId="24" applyNumberFormat="1" applyFont="1" applyFill="1"/>
    <xf numFmtId="183" fontId="13" fillId="0" borderId="0" xfId="3" applyNumberFormat="1" applyFont="1" applyFill="1" applyBorder="1" applyAlignment="1">
      <alignment horizontal="center"/>
    </xf>
    <xf numFmtId="183" fontId="8" fillId="0" borderId="0" xfId="3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/>
    </xf>
    <xf numFmtId="183" fontId="49" fillId="0" borderId="67" xfId="5" applyNumberFormat="1" applyFont="1" applyFill="1" applyBorder="1" applyAlignment="1">
      <alignment horizontal="right" vertical="center" wrapText="1" indent="1"/>
    </xf>
    <xf numFmtId="183" fontId="41" fillId="0" borderId="28" xfId="5" applyNumberFormat="1" applyFont="1" applyFill="1" applyBorder="1" applyAlignment="1">
      <alignment horizontal="center" vertical="center" wrapText="1"/>
    </xf>
    <xf numFmtId="183" fontId="41" fillId="0" borderId="25" xfId="5" applyNumberFormat="1" applyFont="1" applyFill="1" applyBorder="1" applyAlignment="1">
      <alignment horizontal="center" vertical="center" wrapText="1"/>
    </xf>
    <xf numFmtId="183" fontId="8" fillId="0" borderId="27" xfId="3" applyNumberFormat="1" applyFont="1" applyFill="1" applyBorder="1"/>
    <xf numFmtId="183" fontId="49" fillId="0" borderId="31" xfId="5" applyNumberFormat="1" applyFont="1" applyFill="1" applyBorder="1" applyAlignment="1">
      <alignment horizontal="right" vertical="center" wrapText="1" indent="1"/>
    </xf>
    <xf numFmtId="183" fontId="49" fillId="0" borderId="67" xfId="5" applyNumberFormat="1" applyFont="1" applyFill="1" applyBorder="1" applyAlignment="1">
      <alignment horizontal="center" vertical="center" wrapText="1"/>
    </xf>
    <xf numFmtId="183" fontId="76" fillId="0" borderId="72" xfId="5" applyNumberFormat="1" applyFont="1" applyFill="1" applyBorder="1" applyAlignment="1">
      <alignment horizontal="right" vertical="center" wrapText="1" indent="1"/>
    </xf>
    <xf numFmtId="183" fontId="13" fillId="0" borderId="15" xfId="5" applyNumberFormat="1" applyFont="1" applyFill="1" applyBorder="1" applyAlignment="1">
      <alignment horizontal="right" vertical="center" wrapText="1"/>
    </xf>
    <xf numFmtId="183" fontId="13" fillId="0" borderId="23" xfId="5" applyNumberFormat="1" applyFont="1" applyFill="1" applyBorder="1" applyAlignment="1">
      <alignment horizontal="right" vertical="center" wrapText="1"/>
    </xf>
    <xf numFmtId="183" fontId="8" fillId="0" borderId="0" xfId="3" applyNumberFormat="1" applyFont="1" applyFill="1" applyBorder="1"/>
    <xf numFmtId="183" fontId="76" fillId="0" borderId="37" xfId="5" applyNumberFormat="1" applyFont="1" applyFill="1" applyBorder="1" applyAlignment="1">
      <alignment horizontal="right" vertical="center" wrapText="1" indent="1"/>
    </xf>
    <xf numFmtId="183" fontId="76" fillId="0" borderId="67" xfId="5" applyNumberFormat="1" applyFont="1" applyFill="1" applyBorder="1" applyAlignment="1">
      <alignment horizontal="right" vertical="center" wrapText="1" indent="1"/>
    </xf>
    <xf numFmtId="183" fontId="41" fillId="0" borderId="60" xfId="5" applyNumberFormat="1" applyFont="1" applyFill="1" applyBorder="1" applyAlignment="1">
      <alignment horizontal="right" vertical="center" wrapText="1"/>
    </xf>
    <xf numFmtId="183" fontId="41" fillId="0" borderId="31" xfId="5" applyNumberFormat="1" applyFont="1" applyFill="1" applyBorder="1" applyAlignment="1">
      <alignment horizontal="right" vertical="center" wrapText="1"/>
    </xf>
    <xf numFmtId="183" fontId="76" fillId="0" borderId="31" xfId="5" applyNumberFormat="1" applyFont="1" applyFill="1" applyBorder="1" applyAlignment="1">
      <alignment horizontal="right" vertical="center" wrapText="1" indent="1"/>
    </xf>
    <xf numFmtId="183" fontId="41" fillId="0" borderId="32" xfId="5" applyNumberFormat="1" applyFont="1" applyFill="1" applyBorder="1" applyAlignment="1">
      <alignment horizontal="right" vertical="center" wrapText="1"/>
    </xf>
    <xf numFmtId="183" fontId="76" fillId="0" borderId="71" xfId="5" applyNumberFormat="1" applyFont="1" applyFill="1" applyBorder="1" applyAlignment="1">
      <alignment horizontal="right" vertical="center" wrapText="1" indent="1"/>
    </xf>
    <xf numFmtId="183" fontId="41" fillId="0" borderId="18" xfId="5" applyNumberFormat="1" applyFont="1" applyFill="1" applyBorder="1" applyAlignment="1">
      <alignment horizontal="right" vertical="center" wrapText="1"/>
    </xf>
    <xf numFmtId="183" fontId="41" fillId="0" borderId="2" xfId="5" applyNumberFormat="1" applyFont="1" applyFill="1" applyBorder="1" applyAlignment="1">
      <alignment horizontal="right" vertical="center" wrapText="1"/>
    </xf>
    <xf numFmtId="183" fontId="85" fillId="0" borderId="0" xfId="3" applyNumberFormat="1" applyFont="1" applyFill="1" applyBorder="1"/>
    <xf numFmtId="183" fontId="76" fillId="0" borderId="20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indent="1"/>
    </xf>
    <xf numFmtId="183" fontId="41" fillId="0" borderId="7" xfId="5" applyNumberFormat="1" applyFont="1" applyFill="1" applyBorder="1" applyAlignment="1">
      <alignment horizontal="right" vertical="center"/>
    </xf>
    <xf numFmtId="183" fontId="41" fillId="0" borderId="1" xfId="5" applyNumberFormat="1" applyFont="1" applyFill="1" applyBorder="1" applyAlignment="1">
      <alignment horizontal="right" vertical="center"/>
    </xf>
    <xf numFmtId="183" fontId="76" fillId="0" borderId="9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indent="1"/>
    </xf>
    <xf numFmtId="183" fontId="39" fillId="0" borderId="7" xfId="5" applyNumberFormat="1" applyFont="1" applyFill="1" applyBorder="1" applyAlignment="1">
      <alignment horizontal="right" vertical="center"/>
    </xf>
    <xf numFmtId="183" fontId="39" fillId="0" borderId="1" xfId="5" applyNumberFormat="1" applyFont="1" applyFill="1" applyBorder="1" applyAlignment="1">
      <alignment horizontal="right" vertical="center"/>
    </xf>
    <xf numFmtId="183" fontId="17" fillId="0" borderId="9" xfId="5" applyNumberFormat="1" applyFont="1" applyFill="1" applyBorder="1" applyAlignment="1">
      <alignment horizontal="right" vertical="center" indent="1"/>
    </xf>
    <xf numFmtId="183" fontId="39" fillId="0" borderId="9" xfId="5" applyNumberFormat="1" applyFont="1" applyFill="1" applyBorder="1" applyAlignment="1">
      <alignment horizontal="right" vertical="center"/>
    </xf>
    <xf numFmtId="183" fontId="17" fillId="0" borderId="19" xfId="34" applyNumberFormat="1" applyFont="1" applyFill="1" applyBorder="1" applyAlignment="1">
      <alignment horizontal="right" vertical="center" wrapText="1" indent="1"/>
    </xf>
    <xf numFmtId="183" fontId="47" fillId="0" borderId="0" xfId="3" applyNumberFormat="1" applyFont="1" applyFill="1" applyBorder="1"/>
    <xf numFmtId="183" fontId="17" fillId="0" borderId="9" xfId="34" applyNumberFormat="1" applyFont="1" applyFill="1" applyBorder="1" applyAlignment="1">
      <alignment horizontal="right" vertical="center" wrapText="1" indent="1"/>
    </xf>
    <xf numFmtId="183" fontId="39" fillId="0" borderId="14" xfId="5" applyNumberFormat="1" applyFont="1" applyFill="1" applyBorder="1" applyAlignment="1">
      <alignment horizontal="right" vertical="center"/>
    </xf>
    <xf numFmtId="183" fontId="41" fillId="0" borderId="9" xfId="5" applyNumberFormat="1" applyFont="1" applyFill="1" applyBorder="1" applyAlignment="1">
      <alignment horizontal="right" vertical="center"/>
    </xf>
    <xf numFmtId="183" fontId="17" fillId="0" borderId="70" xfId="5" applyNumberFormat="1" applyFont="1" applyFill="1" applyBorder="1" applyAlignment="1">
      <alignment horizontal="right" vertical="center" indent="1"/>
    </xf>
    <xf numFmtId="183" fontId="39" fillId="0" borderId="15" xfId="5" applyNumberFormat="1" applyFont="1" applyFill="1" applyBorder="1" applyAlignment="1">
      <alignment horizontal="right" vertical="center"/>
    </xf>
    <xf numFmtId="183" fontId="39" fillId="0" borderId="34" xfId="5" applyNumberFormat="1" applyFont="1" applyFill="1" applyBorder="1" applyAlignment="1">
      <alignment horizontal="right" vertical="center"/>
    </xf>
    <xf numFmtId="183" fontId="17" fillId="0" borderId="34" xfId="5" applyNumberFormat="1" applyFont="1" applyFill="1" applyBorder="1" applyAlignment="1">
      <alignment horizontal="right" vertical="center" indent="1"/>
    </xf>
    <xf numFmtId="183" fontId="41" fillId="0" borderId="12" xfId="5" applyNumberFormat="1" applyFont="1" applyFill="1" applyBorder="1" applyAlignment="1">
      <alignment horizontal="right" vertical="center" wrapText="1"/>
    </xf>
    <xf numFmtId="183" fontId="41" fillId="0" borderId="36" xfId="5" applyNumberFormat="1" applyFont="1" applyFill="1" applyBorder="1" applyAlignment="1">
      <alignment horizontal="right" vertical="center" wrapText="1"/>
    </xf>
    <xf numFmtId="183" fontId="76" fillId="0" borderId="69" xfId="5" applyNumberFormat="1" applyFont="1" applyFill="1" applyBorder="1" applyAlignment="1">
      <alignment horizontal="right" vertical="center" indent="1"/>
    </xf>
    <xf numFmtId="183" fontId="41" fillId="0" borderId="28" xfId="5" applyNumberFormat="1" applyFont="1" applyFill="1" applyBorder="1" applyAlignment="1">
      <alignment horizontal="right" vertical="center"/>
    </xf>
    <xf numFmtId="183" fontId="41" fillId="0" borderId="26" xfId="5" applyNumberFormat="1" applyFont="1" applyFill="1" applyBorder="1" applyAlignment="1">
      <alignment horizontal="right" vertical="center"/>
    </xf>
    <xf numFmtId="183" fontId="76" fillId="0" borderId="25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wrapText="1" indent="1"/>
    </xf>
    <xf numFmtId="183" fontId="39" fillId="0" borderId="7" xfId="5" applyNumberFormat="1" applyFont="1" applyFill="1" applyBorder="1" applyAlignment="1">
      <alignment horizontal="right" vertical="center" wrapText="1"/>
    </xf>
    <xf numFmtId="183" fontId="39" fillId="0" borderId="9" xfId="5" applyNumberFormat="1" applyFont="1" applyFill="1" applyBorder="1" applyAlignment="1">
      <alignment horizontal="right" vertical="center" wrapText="1"/>
    </xf>
    <xf numFmtId="183" fontId="17" fillId="0" borderId="9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wrapText="1" indent="1"/>
    </xf>
    <xf numFmtId="183" fontId="41" fillId="0" borderId="7" xfId="5" applyNumberFormat="1" applyFont="1" applyFill="1" applyBorder="1" applyAlignment="1">
      <alignment horizontal="right" vertical="center" wrapText="1"/>
    </xf>
    <xf numFmtId="183" fontId="41" fillId="0" borderId="9" xfId="5" applyNumberFormat="1" applyFont="1" applyFill="1" applyBorder="1" applyAlignment="1">
      <alignment horizontal="right" vertical="center" wrapText="1"/>
    </xf>
    <xf numFmtId="183" fontId="13" fillId="0" borderId="0" xfId="3" applyNumberFormat="1" applyFont="1" applyFill="1" applyBorder="1"/>
    <xf numFmtId="183" fontId="76" fillId="0" borderId="9" xfId="5" applyNumberFormat="1" applyFont="1" applyFill="1" applyBorder="1" applyAlignment="1">
      <alignment horizontal="right" vertical="center" wrapText="1" indent="1"/>
    </xf>
    <xf numFmtId="183" fontId="76" fillId="0" borderId="19" xfId="14" applyNumberFormat="1" applyFont="1" applyFill="1" applyBorder="1" applyAlignment="1">
      <alignment horizontal="right" vertical="center" indent="1"/>
    </xf>
    <xf numFmtId="183" fontId="41" fillId="0" borderId="7" xfId="14" applyNumberFormat="1" applyFont="1" applyFill="1" applyBorder="1" applyAlignment="1">
      <alignment horizontal="right" vertical="center"/>
    </xf>
    <xf numFmtId="183" fontId="41" fillId="0" borderId="1" xfId="14" applyNumberFormat="1" applyFont="1" applyFill="1" applyBorder="1" applyAlignment="1">
      <alignment horizontal="right" vertical="center"/>
    </xf>
    <xf numFmtId="183" fontId="76" fillId="0" borderId="9" xfId="14" applyNumberFormat="1" applyFont="1" applyFill="1" applyBorder="1" applyAlignment="1">
      <alignment horizontal="right" vertical="center" indent="1"/>
    </xf>
    <xf numFmtId="183" fontId="17" fillId="0" borderId="19" xfId="14" applyNumberFormat="1" applyFont="1" applyFill="1" applyBorder="1" applyAlignment="1">
      <alignment horizontal="right" vertical="center" indent="1"/>
    </xf>
    <xf numFmtId="183" fontId="17" fillId="0" borderId="9" xfId="14" applyNumberFormat="1" applyFont="1" applyFill="1" applyBorder="1" applyAlignment="1">
      <alignment horizontal="right" vertical="center" indent="1"/>
    </xf>
    <xf numFmtId="183" fontId="39" fillId="0" borderId="7" xfId="14" applyNumberFormat="1" applyFont="1" applyFill="1" applyBorder="1" applyAlignment="1">
      <alignment horizontal="right" vertical="center"/>
    </xf>
    <xf numFmtId="183" fontId="39" fillId="0" borderId="1" xfId="14" applyNumberFormat="1" applyFont="1" applyFill="1" applyBorder="1" applyAlignment="1">
      <alignment horizontal="right" vertical="center"/>
    </xf>
    <xf numFmtId="183" fontId="39" fillId="0" borderId="1" xfId="5" applyNumberFormat="1" applyFont="1" applyFill="1" applyBorder="1" applyAlignment="1">
      <alignment horizontal="right" vertical="center" wrapText="1"/>
    </xf>
    <xf numFmtId="183" fontId="39" fillId="0" borderId="14" xfId="5" applyNumberFormat="1" applyFont="1" applyFill="1" applyBorder="1" applyAlignment="1">
      <alignment horizontal="right" vertical="center" wrapText="1"/>
    </xf>
    <xf numFmtId="183" fontId="75" fillId="0" borderId="19" xfId="9" applyNumberFormat="1" applyFont="1" applyFill="1" applyBorder="1" applyAlignment="1">
      <alignment horizontal="right" vertical="center" wrapText="1" indent="1"/>
    </xf>
    <xf numFmtId="183" fontId="75" fillId="0" borderId="64" xfId="9" applyNumberFormat="1" applyFont="1" applyFill="1" applyBorder="1" applyAlignment="1">
      <alignment horizontal="right" vertical="center" wrapText="1" indent="1"/>
    </xf>
    <xf numFmtId="183" fontId="105" fillId="0" borderId="19" xfId="5" applyNumberFormat="1" applyFont="1" applyFill="1" applyBorder="1" applyAlignment="1">
      <alignment horizontal="right" vertical="center" wrapText="1" indent="1"/>
    </xf>
    <xf numFmtId="183" fontId="39" fillId="0" borderId="9" xfId="14" applyNumberFormat="1" applyFont="1" applyFill="1" applyBorder="1" applyAlignment="1">
      <alignment horizontal="right" vertical="center"/>
    </xf>
    <xf numFmtId="183" fontId="17" fillId="0" borderId="6" xfId="5" applyNumberFormat="1" applyFont="1" applyFill="1" applyBorder="1" applyAlignment="1">
      <alignment horizontal="right" vertical="center" wrapText="1" indent="1"/>
    </xf>
    <xf numFmtId="183" fontId="75" fillId="0" borderId="19" xfId="46" applyNumberFormat="1" applyFont="1" applyFill="1" applyBorder="1" applyAlignment="1">
      <alignment horizontal="right" vertical="center" wrapText="1" indent="1"/>
    </xf>
    <xf numFmtId="183" fontId="10" fillId="0" borderId="7" xfId="34" applyNumberFormat="1" applyFont="1" applyFill="1" applyBorder="1" applyAlignment="1">
      <alignment horizontal="right" vertical="center" wrapText="1"/>
    </xf>
    <xf numFmtId="183" fontId="10" fillId="0" borderId="1" xfId="34" applyNumberFormat="1" applyFont="1" applyFill="1" applyBorder="1" applyAlignment="1">
      <alignment horizontal="right" vertical="center" wrapText="1"/>
    </xf>
    <xf numFmtId="183" fontId="10" fillId="0" borderId="14" xfId="9" applyNumberFormat="1" applyFont="1" applyFill="1" applyBorder="1" applyAlignment="1">
      <alignment horizontal="right" vertical="center" wrapText="1"/>
    </xf>
    <xf numFmtId="183" fontId="10" fillId="0" borderId="19" xfId="9" applyNumberFormat="1" applyFont="1" applyFill="1" applyBorder="1" applyAlignment="1">
      <alignment horizontal="right" vertical="center" wrapText="1"/>
    </xf>
    <xf numFmtId="183" fontId="10" fillId="0" borderId="19" xfId="46" applyNumberFormat="1" applyFont="1" applyFill="1" applyBorder="1" applyAlignment="1">
      <alignment vertical="center" wrapText="1"/>
    </xf>
    <xf numFmtId="183" fontId="10" fillId="0" borderId="14" xfId="34" applyNumberFormat="1" applyFont="1" applyFill="1" applyBorder="1" applyAlignment="1">
      <alignment horizontal="right" vertical="center" wrapText="1"/>
    </xf>
    <xf numFmtId="183" fontId="10" fillId="0" borderId="0" xfId="9" applyNumberFormat="1" applyFont="1" applyFill="1" applyBorder="1" applyAlignment="1">
      <alignment horizontal="right" vertical="center" wrapText="1"/>
    </xf>
    <xf numFmtId="183" fontId="10" fillId="0" borderId="0" xfId="46" applyNumberFormat="1" applyFont="1" applyFill="1" applyBorder="1" applyAlignment="1">
      <alignment vertical="center" wrapText="1"/>
    </xf>
    <xf numFmtId="183" fontId="97" fillId="0" borderId="19" xfId="5" applyNumberFormat="1" applyFont="1" applyFill="1" applyBorder="1" applyAlignment="1">
      <alignment horizontal="right" vertical="center" wrapText="1" indent="1"/>
    </xf>
    <xf numFmtId="183" fontId="98" fillId="0" borderId="7" xfId="5" applyNumberFormat="1" applyFont="1" applyFill="1" applyBorder="1" applyAlignment="1">
      <alignment horizontal="right" vertical="center" wrapText="1"/>
    </xf>
    <xf numFmtId="183" fontId="98" fillId="0" borderId="9" xfId="5" applyNumberFormat="1" applyFont="1" applyFill="1" applyBorder="1" applyAlignment="1">
      <alignment horizontal="right" vertical="center" wrapText="1"/>
    </xf>
    <xf numFmtId="183" fontId="99" fillId="0" borderId="0" xfId="3" applyNumberFormat="1" applyFont="1" applyFill="1" applyBorder="1"/>
    <xf numFmtId="183" fontId="97" fillId="0" borderId="9" xfId="5" applyNumberFormat="1" applyFont="1" applyFill="1" applyBorder="1" applyAlignment="1">
      <alignment horizontal="right" vertical="center" wrapText="1" indent="1"/>
    </xf>
    <xf numFmtId="183" fontId="41" fillId="0" borderId="1" xfId="5" applyNumberFormat="1" applyFont="1" applyFill="1" applyBorder="1" applyAlignment="1">
      <alignment horizontal="right" vertical="center" wrapText="1"/>
    </xf>
    <xf numFmtId="183" fontId="17" fillId="0" borderId="70" xfId="5" applyNumberFormat="1" applyFont="1" applyFill="1" applyBorder="1" applyAlignment="1">
      <alignment horizontal="right" vertical="center" wrapText="1" indent="1"/>
    </xf>
    <xf numFmtId="183" fontId="17" fillId="0" borderId="34" xfId="5" applyNumberFormat="1" applyFont="1" applyFill="1" applyBorder="1" applyAlignment="1">
      <alignment horizontal="right" vertical="center" wrapText="1" indent="1"/>
    </xf>
    <xf numFmtId="183" fontId="17" fillId="0" borderId="66" xfId="5" applyNumberFormat="1" applyFont="1" applyFill="1" applyBorder="1" applyAlignment="1">
      <alignment horizontal="right" vertical="center" wrapText="1" indent="1"/>
    </xf>
    <xf numFmtId="183" fontId="17" fillId="0" borderId="3" xfId="5" applyNumberFormat="1" applyFont="1" applyFill="1" applyBorder="1" applyAlignment="1">
      <alignment horizontal="right" vertical="center" wrapText="1" indent="1"/>
    </xf>
    <xf numFmtId="183" fontId="78" fillId="0" borderId="71" xfId="5" applyNumberFormat="1" applyFont="1" applyFill="1" applyBorder="1" applyAlignment="1">
      <alignment horizontal="right" vertical="center" wrapText="1" indent="1"/>
    </xf>
    <xf numFmtId="183" fontId="78" fillId="0" borderId="2" xfId="5" applyNumberFormat="1" applyFont="1" applyFill="1" applyBorder="1" applyAlignment="1">
      <alignment horizontal="right" vertical="center" wrapText="1" indent="1"/>
    </xf>
    <xf numFmtId="183" fontId="57" fillId="0" borderId="19" xfId="5" applyNumberFormat="1" applyFont="1" applyFill="1" applyBorder="1" applyAlignment="1">
      <alignment horizontal="right" vertical="center" wrapText="1" indent="1"/>
    </xf>
    <xf numFmtId="183" fontId="57" fillId="0" borderId="1" xfId="5" applyNumberFormat="1" applyFont="1" applyFill="1" applyBorder="1" applyAlignment="1">
      <alignment horizontal="right" vertical="center" wrapText="1" indent="1"/>
    </xf>
    <xf numFmtId="183" fontId="57" fillId="0" borderId="70" xfId="5" applyNumberFormat="1" applyFont="1" applyFill="1" applyBorder="1" applyAlignment="1">
      <alignment horizontal="right" vertical="center" wrapText="1" indent="1"/>
    </xf>
    <xf numFmtId="183" fontId="39" fillId="0" borderId="15" xfId="5" applyNumberFormat="1" applyFont="1" applyFill="1" applyBorder="1" applyAlignment="1">
      <alignment horizontal="right" vertical="center" wrapText="1"/>
    </xf>
    <xf numFmtId="183" fontId="39" fillId="0" borderId="34" xfId="5" applyNumberFormat="1" applyFont="1" applyFill="1" applyBorder="1" applyAlignment="1">
      <alignment horizontal="right" vertical="center" wrapText="1"/>
    </xf>
    <xf numFmtId="183" fontId="57" fillId="0" borderId="23" xfId="5" applyNumberFormat="1" applyFont="1" applyFill="1" applyBorder="1" applyAlignment="1">
      <alignment horizontal="right" vertical="center" wrapText="1" indent="1"/>
    </xf>
    <xf numFmtId="183" fontId="57" fillId="0" borderId="72" xfId="5" applyNumberFormat="1" applyFont="1" applyFill="1" applyBorder="1" applyAlignment="1">
      <alignment horizontal="right" vertical="center" wrapText="1" indent="1"/>
    </xf>
    <xf numFmtId="183" fontId="39" fillId="0" borderId="12" xfId="5" applyNumberFormat="1" applyFont="1" applyFill="1" applyBorder="1" applyAlignment="1">
      <alignment horizontal="right" vertical="center" wrapText="1"/>
    </xf>
    <xf numFmtId="183" fontId="39" fillId="0" borderId="37" xfId="5" applyNumberFormat="1" applyFont="1" applyFill="1" applyBorder="1" applyAlignment="1">
      <alignment horizontal="right" vertical="center" wrapText="1"/>
    </xf>
    <xf numFmtId="183" fontId="57" fillId="0" borderId="36" xfId="5" applyNumberFormat="1" applyFont="1" applyFill="1" applyBorder="1" applyAlignment="1">
      <alignment horizontal="right" vertical="center" wrapText="1" indent="1"/>
    </xf>
    <xf numFmtId="183" fontId="78" fillId="0" borderId="67" xfId="5" applyNumberFormat="1" applyFont="1" applyFill="1" applyBorder="1" applyAlignment="1">
      <alignment horizontal="right" vertical="center" wrapText="1" indent="1"/>
    </xf>
    <xf numFmtId="183" fontId="78" fillId="0" borderId="32" xfId="5" applyNumberFormat="1" applyFont="1" applyFill="1" applyBorder="1" applyAlignment="1">
      <alignment horizontal="right" vertical="center" wrapText="1" indent="1"/>
    </xf>
    <xf numFmtId="183" fontId="41" fillId="0" borderId="20" xfId="5" applyNumberFormat="1" applyFont="1" applyFill="1" applyBorder="1" applyAlignment="1">
      <alignment horizontal="right" vertical="center" wrapText="1"/>
    </xf>
    <xf numFmtId="183" fontId="78" fillId="0" borderId="19" xfId="5" applyNumberFormat="1" applyFont="1" applyFill="1" applyBorder="1" applyAlignment="1">
      <alignment horizontal="right" vertical="center" wrapText="1" indent="1"/>
    </xf>
    <xf numFmtId="183" fontId="78" fillId="0" borderId="1" xfId="5" applyNumberFormat="1" applyFont="1" applyFill="1" applyBorder="1" applyAlignment="1">
      <alignment horizontal="right" vertical="center" wrapText="1" indent="1"/>
    </xf>
    <xf numFmtId="183" fontId="76" fillId="0" borderId="1" xfId="5" applyNumberFormat="1" applyFont="1" applyFill="1" applyBorder="1" applyAlignment="1">
      <alignment horizontal="right" vertical="center" wrapText="1" indent="1"/>
    </xf>
    <xf numFmtId="183" fontId="17" fillId="0" borderId="1" xfId="5" applyNumberFormat="1" applyFont="1" applyFill="1" applyBorder="1" applyAlignment="1">
      <alignment horizontal="right" vertical="center" wrapText="1" indent="1"/>
    </xf>
    <xf numFmtId="183" fontId="8" fillId="0" borderId="46" xfId="3" applyNumberFormat="1" applyFont="1" applyFill="1" applyBorder="1"/>
    <xf numFmtId="183" fontId="17" fillId="0" borderId="70" xfId="34" applyNumberFormat="1" applyFont="1" applyFill="1" applyBorder="1" applyAlignment="1">
      <alignment horizontal="right" vertical="center" wrapText="1" indent="1"/>
    </xf>
    <xf numFmtId="183" fontId="39" fillId="0" borderId="65" xfId="5" applyNumberFormat="1" applyFont="1" applyFill="1" applyBorder="1" applyAlignment="1">
      <alignment horizontal="right" vertical="center"/>
    </xf>
    <xf numFmtId="183" fontId="17" fillId="0" borderId="34" xfId="34" applyNumberFormat="1" applyFont="1" applyFill="1" applyBorder="1" applyAlignment="1">
      <alignment horizontal="right" vertical="center" wrapText="1" indent="1"/>
    </xf>
    <xf numFmtId="183" fontId="17" fillId="0" borderId="66" xfId="34" applyNumberFormat="1" applyFont="1" applyFill="1" applyBorder="1" applyAlignment="1">
      <alignment horizontal="right" vertical="center" wrapText="1" indent="1"/>
    </xf>
    <xf numFmtId="183" fontId="39" fillId="0" borderId="59" xfId="5" applyNumberFormat="1" applyFont="1" applyFill="1" applyBorder="1" applyAlignment="1">
      <alignment horizontal="right" vertical="center"/>
    </xf>
    <xf numFmtId="183" fontId="39" fillId="0" borderId="74" xfId="5" applyNumberFormat="1" applyFont="1" applyFill="1" applyBorder="1" applyAlignment="1">
      <alignment horizontal="right" vertical="center"/>
    </xf>
    <xf numFmtId="183" fontId="47" fillId="0" borderId="38" xfId="3" applyNumberFormat="1" applyFont="1" applyFill="1" applyBorder="1"/>
    <xf numFmtId="183" fontId="8" fillId="0" borderId="38" xfId="3" applyNumberFormat="1" applyFont="1" applyFill="1" applyBorder="1"/>
    <xf numFmtId="183" fontId="17" fillId="0" borderId="3" xfId="34" applyNumberFormat="1" applyFont="1" applyFill="1" applyBorder="1" applyAlignment="1">
      <alignment horizontal="right" vertical="center" wrapText="1" indent="1"/>
    </xf>
    <xf numFmtId="183" fontId="76" fillId="0" borderId="69" xfId="5" applyNumberFormat="1" applyFont="1" applyFill="1" applyBorder="1" applyAlignment="1">
      <alignment horizontal="right" vertical="center" wrapText="1" indent="1"/>
    </xf>
    <xf numFmtId="183" fontId="41" fillId="0" borderId="28" xfId="5" applyNumberFormat="1" applyFont="1" applyFill="1" applyBorder="1" applyAlignment="1">
      <alignment horizontal="right" vertical="center" wrapText="1"/>
    </xf>
    <xf numFmtId="183" fontId="41" fillId="0" borderId="26" xfId="5" applyNumberFormat="1" applyFont="1" applyFill="1" applyBorder="1" applyAlignment="1">
      <alignment horizontal="right" vertical="center" wrapText="1"/>
    </xf>
    <xf numFmtId="183" fontId="92" fillId="0" borderId="27" xfId="3" applyNumberFormat="1" applyFont="1" applyFill="1" applyBorder="1"/>
    <xf numFmtId="183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3" fontId="41" fillId="0" borderId="15" xfId="5" applyNumberFormat="1" applyFont="1" applyFill="1" applyBorder="1" applyAlignment="1">
      <alignment horizontal="right" vertical="center"/>
    </xf>
    <xf numFmtId="183" fontId="41" fillId="0" borderId="23" xfId="5" applyNumberFormat="1" applyFont="1" applyFill="1" applyBorder="1" applyAlignment="1">
      <alignment horizontal="right" vertical="center"/>
    </xf>
    <xf numFmtId="183" fontId="8" fillId="0" borderId="67" xfId="24" applyNumberFormat="1" applyFont="1" applyFill="1" applyBorder="1" applyAlignment="1">
      <alignment vertical="center"/>
    </xf>
    <xf numFmtId="183" fontId="8" fillId="0" borderId="84" xfId="24" applyNumberFormat="1" applyFont="1" applyFill="1" applyBorder="1" applyAlignment="1"/>
    <xf numFmtId="183" fontId="8" fillId="0" borderId="62" xfId="3" applyNumberFormat="1" applyFont="1" applyFill="1" applyBorder="1" applyAlignment="1"/>
    <xf numFmtId="183" fontId="8" fillId="0" borderId="76" xfId="3" applyNumberFormat="1" applyFont="1" applyFill="1" applyBorder="1" applyAlignment="1"/>
    <xf numFmtId="183" fontId="8" fillId="0" borderId="67" xfId="24" applyNumberFormat="1" applyFont="1" applyFill="1" applyBorder="1" applyAlignment="1"/>
    <xf numFmtId="183" fontId="8" fillId="0" borderId="84" xfId="3" applyNumberFormat="1" applyFont="1" applyFill="1" applyBorder="1" applyAlignment="1"/>
    <xf numFmtId="183" fontId="8" fillId="0" borderId="63" xfId="24" applyNumberFormat="1" applyFont="1" applyFill="1" applyBorder="1" applyAlignment="1">
      <alignment vertical="center"/>
    </xf>
    <xf numFmtId="183" fontId="13" fillId="0" borderId="33" xfId="24" applyNumberFormat="1" applyFont="1" applyFill="1" applyBorder="1" applyAlignment="1">
      <alignment vertical="center"/>
    </xf>
    <xf numFmtId="183" fontId="13" fillId="0" borderId="32" xfId="24" applyNumberFormat="1" applyFont="1" applyFill="1" applyBorder="1" applyAlignment="1">
      <alignment vertical="center"/>
    </xf>
    <xf numFmtId="183" fontId="13" fillId="0" borderId="32" xfId="3" applyNumberFormat="1" applyFont="1" applyFill="1" applyBorder="1" applyAlignment="1">
      <alignment vertical="center"/>
    </xf>
    <xf numFmtId="183" fontId="13" fillId="0" borderId="73" xfId="3" applyNumberFormat="1" applyFont="1" applyFill="1" applyBorder="1" applyAlignment="1">
      <alignment vertical="center"/>
    </xf>
    <xf numFmtId="183" fontId="13" fillId="0" borderId="67" xfId="24" applyNumberFormat="1" applyFont="1" applyFill="1" applyBorder="1" applyAlignment="1">
      <alignment vertical="center"/>
    </xf>
    <xf numFmtId="183" fontId="13" fillId="0" borderId="60" xfId="3" applyNumberFormat="1" applyFont="1" applyFill="1" applyBorder="1" applyAlignment="1">
      <alignment vertical="center"/>
    </xf>
    <xf numFmtId="183" fontId="13" fillId="0" borderId="31" xfId="24" applyNumberFormat="1" applyFont="1" applyFill="1" applyBorder="1" applyAlignment="1">
      <alignment vertical="center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174" fontId="24" fillId="0" borderId="43" xfId="26" applyNumberFormat="1" applyFont="1" applyFill="1" applyBorder="1" applyAlignment="1">
      <alignment horizontal="right" vertical="distributed"/>
    </xf>
    <xf numFmtId="174" fontId="31" fillId="0" borderId="47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>
      <alignment horizontal="right"/>
    </xf>
    <xf numFmtId="174" fontId="31" fillId="0" borderId="47" xfId="26" applyNumberFormat="1" applyFont="1" applyFill="1" applyBorder="1" applyAlignment="1">
      <alignment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174" fontId="52" fillId="0" borderId="1" xfId="34" applyNumberFormat="1" applyFont="1" applyFill="1" applyBorder="1" applyAlignment="1"/>
    <xf numFmtId="174" fontId="31" fillId="0" borderId="43" xfId="26" applyNumberFormat="1" applyFont="1" applyFill="1" applyBorder="1" applyAlignment="1">
      <alignment horizontal="right" vertical="distributed"/>
    </xf>
    <xf numFmtId="174" fontId="31" fillId="0" borderId="55" xfId="26" applyNumberFormat="1" applyFont="1" applyFill="1" applyBorder="1" applyAlignment="1">
      <alignment horizontal="right" vertical="distributed"/>
    </xf>
    <xf numFmtId="174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4" fontId="11" fillId="0" borderId="0" xfId="46" applyNumberFormat="1" applyFont="1" applyFill="1" applyAlignment="1">
      <alignment horizontal="right" indent="1"/>
    </xf>
    <xf numFmtId="174" fontId="35" fillId="0" borderId="0" xfId="7" applyNumberFormat="1" applyFont="1" applyFill="1" applyAlignment="1">
      <alignment horizontal="right" indent="1"/>
    </xf>
    <xf numFmtId="174" fontId="31" fillId="0" borderId="0" xfId="9" applyNumberFormat="1" applyFont="1" applyFill="1" applyAlignment="1">
      <alignment horizontal="right" vertical="center" indent="1"/>
    </xf>
    <xf numFmtId="174" fontId="8" fillId="0" borderId="0" xfId="3" applyNumberFormat="1" applyFont="1" applyFill="1" applyBorder="1" applyAlignment="1">
      <alignment horizontal="right" indent="1"/>
    </xf>
    <xf numFmtId="174" fontId="12" fillId="0" borderId="9" xfId="34" applyNumberFormat="1" applyFont="1" applyFill="1" applyBorder="1" applyAlignment="1">
      <alignment horizontal="right" vertical="center" wrapText="1" indent="1"/>
    </xf>
    <xf numFmtId="174" fontId="11" fillId="0" borderId="9" xfId="34" applyNumberFormat="1" applyFont="1" applyFill="1" applyBorder="1" applyAlignment="1">
      <alignment horizontal="right" vertical="center" wrapText="1" indent="1"/>
    </xf>
    <xf numFmtId="174" fontId="11" fillId="0" borderId="9" xfId="24" applyNumberFormat="1" applyFont="1" applyFill="1" applyBorder="1" applyAlignment="1">
      <alignment horizontal="right" indent="1"/>
    </xf>
    <xf numFmtId="174" fontId="11" fillId="0" borderId="6" xfId="24" applyNumberFormat="1" applyFont="1" applyFill="1" applyBorder="1" applyAlignment="1">
      <alignment horizontal="right" indent="1"/>
    </xf>
    <xf numFmtId="172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6" fontId="11" fillId="0" borderId="13" xfId="34" applyNumberFormat="1" applyFont="1" applyFill="1" applyBorder="1" applyAlignment="1">
      <alignment horizontal="right" vertical="center" wrapText="1"/>
    </xf>
    <xf numFmtId="174" fontId="10" fillId="0" borderId="70" xfId="46" applyNumberFormat="1" applyFont="1" applyFill="1" applyBorder="1" applyAlignment="1">
      <alignment horizontal="right" vertical="center" wrapText="1" indent="1"/>
    </xf>
    <xf numFmtId="176" fontId="10" fillId="0" borderId="15" xfId="3" applyNumberFormat="1" applyFont="1" applyFill="1" applyBorder="1" applyAlignment="1">
      <alignment vertical="center" wrapText="1"/>
    </xf>
    <xf numFmtId="176" fontId="10" fillId="0" borderId="16" xfId="3" applyNumberFormat="1" applyFont="1" applyFill="1" applyBorder="1" applyAlignment="1">
      <alignment horizontal="right" vertical="center" wrapText="1"/>
    </xf>
    <xf numFmtId="176" fontId="10" fillId="0" borderId="70" xfId="3" applyNumberFormat="1" applyFont="1" applyFill="1" applyBorder="1" applyAlignment="1">
      <alignment horizontal="right" vertical="center" wrapText="1"/>
    </xf>
    <xf numFmtId="183" fontId="10" fillId="0" borderId="70" xfId="46" applyNumberFormat="1" applyFont="1" applyFill="1" applyBorder="1" applyAlignment="1">
      <alignment horizontal="right" vertical="center" wrapText="1" indent="1"/>
    </xf>
    <xf numFmtId="0" fontId="31" fillId="0" borderId="0" xfId="7" applyFont="1" applyFill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83" fontId="31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2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9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2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0" fontId="31" fillId="0" borderId="1" xfId="9" applyFont="1" applyFill="1" applyBorder="1" applyAlignment="1">
      <alignment horizontal="left" vertical="center" wrapText="1"/>
    </xf>
    <xf numFmtId="49" fontId="74" fillId="0" borderId="1" xfId="3" applyNumberFormat="1" applyFont="1" applyFill="1" applyBorder="1" applyAlignment="1">
      <alignment horizontal="center" vertical="center" wrapText="1"/>
    </xf>
    <xf numFmtId="49" fontId="11" fillId="0" borderId="8" xfId="5" applyNumberFormat="1" applyFont="1" applyFill="1" applyBorder="1" applyAlignment="1">
      <alignment horizontal="left" vertical="center" wrapText="1"/>
    </xf>
    <xf numFmtId="183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5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3" fontId="11" fillId="0" borderId="70" xfId="5" applyNumberFormat="1" applyFont="1" applyFill="1" applyBorder="1" applyAlignment="1">
      <alignment horizontal="right" vertical="center" wrapText="1" indent="1"/>
    </xf>
    <xf numFmtId="0" fontId="8" fillId="0" borderId="0" xfId="5"/>
    <xf numFmtId="174" fontId="8" fillId="0" borderId="0" xfId="3" applyNumberFormat="1" applyFont="1" applyFill="1"/>
    <xf numFmtId="174" fontId="18" fillId="0" borderId="0" xfId="3" applyNumberFormat="1" applyFont="1" applyFill="1"/>
    <xf numFmtId="172" fontId="76" fillId="0" borderId="7" xfId="12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23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183" fontId="76" fillId="0" borderId="6" xfId="5" applyNumberFormat="1" applyFont="1" applyFill="1" applyBorder="1" applyAlignment="1">
      <alignment horizontal="right" vertical="center" wrapText="1" indent="1"/>
    </xf>
    <xf numFmtId="0" fontId="118" fillId="0" borderId="0" xfId="9" applyFont="1" applyFill="1"/>
    <xf numFmtId="174" fontId="12" fillId="0" borderId="67" xfId="9" applyNumberFormat="1" applyFont="1" applyFill="1" applyBorder="1" applyAlignment="1">
      <alignment horizontal="center" vertical="center" wrapText="1"/>
    </xf>
    <xf numFmtId="174" fontId="12" fillId="0" borderId="46" xfId="9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53" fillId="0" borderId="0" xfId="7" applyFont="1" applyFill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0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68" fontId="52" fillId="0" borderId="41" xfId="25" applyNumberFormat="1" applyFont="1" applyFill="1" applyBorder="1" applyAlignment="1"/>
    <xf numFmtId="168" fontId="52" fillId="0" borderId="44" xfId="25" applyNumberFormat="1" applyFont="1" applyFill="1" applyBorder="1" applyAlignment="1"/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68" fontId="52" fillId="0" borderId="41" xfId="7" applyNumberFormat="1" applyFont="1" applyFill="1" applyBorder="1" applyAlignment="1"/>
    <xf numFmtId="168" fontId="52" fillId="0" borderId="44" xfId="7" applyNumberFormat="1" applyFont="1" applyFill="1" applyBorder="1" applyAlignment="1"/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74" fontId="52" fillId="0" borderId="1" xfId="7" applyNumberFormat="1" applyFont="1" applyFill="1" applyBorder="1" applyAlignment="1"/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5" fontId="31" fillId="8" borderId="45" xfId="26" applyNumberFormat="1" applyFont="1" applyFill="1" applyBorder="1" applyAlignment="1">
      <alignment horizontal="right" vertical="distributed"/>
    </xf>
    <xf numFmtId="175" fontId="31" fillId="8" borderId="47" xfId="26" applyNumberFormat="1" applyFont="1" applyFill="1" applyBorder="1" applyAlignment="1">
      <alignment horizontal="right" vertical="distributed"/>
    </xf>
    <xf numFmtId="175" fontId="52" fillId="8" borderId="45" xfId="26" applyNumberFormat="1" applyFont="1" applyFill="1" applyBorder="1" applyAlignment="1">
      <alignment horizontal="center"/>
    </xf>
    <xf numFmtId="175" fontId="52" fillId="8" borderId="47" xfId="26" applyNumberFormat="1" applyFont="1" applyFill="1" applyBorder="1" applyAlignment="1">
      <alignment horizontal="center"/>
    </xf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6" fontId="24" fillId="0" borderId="39" xfId="26" applyNumberFormat="1" applyFont="1" applyFill="1" applyBorder="1" applyAlignment="1">
      <alignment horizontal="distributed" vertical="distributed"/>
    </xf>
    <xf numFmtId="176" fontId="24" fillId="0" borderId="40" xfId="26" applyNumberFormat="1" applyFont="1" applyFill="1" applyBorder="1" applyAlignment="1">
      <alignment horizontal="distributed" vertical="distributed"/>
    </xf>
    <xf numFmtId="176" fontId="24" fillId="0" borderId="48" xfId="26" applyNumberFormat="1" applyFont="1" applyFill="1" applyBorder="1" applyAlignment="1">
      <alignment horizontal="distributed" vertical="distributed"/>
    </xf>
    <xf numFmtId="176" fontId="24" fillId="0" borderId="11" xfId="26" applyNumberFormat="1" applyFont="1" applyFill="1" applyBorder="1" applyAlignment="1">
      <alignment horizontal="distributed" vertical="distributed"/>
    </xf>
    <xf numFmtId="176" fontId="24" fillId="0" borderId="42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distributed" vertical="distributed"/>
    </xf>
    <xf numFmtId="174" fontId="52" fillId="0" borderId="1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distributed" vertical="distributed"/>
    </xf>
    <xf numFmtId="176" fontId="31" fillId="0" borderId="40" xfId="26" applyNumberFormat="1" applyFont="1" applyFill="1" applyBorder="1" applyAlignment="1">
      <alignment horizontal="distributed" vertical="distributed"/>
    </xf>
    <xf numFmtId="176" fontId="31" fillId="0" borderId="48" xfId="26" applyNumberFormat="1" applyFont="1" applyFill="1" applyBorder="1" applyAlignment="1">
      <alignment horizontal="distributed" vertical="distributed"/>
    </xf>
    <xf numFmtId="176" fontId="31" fillId="0" borderId="11" xfId="26" applyNumberFormat="1" applyFont="1" applyFill="1" applyBorder="1" applyAlignment="1">
      <alignment horizontal="distributed" vertical="distributed"/>
    </xf>
    <xf numFmtId="176" fontId="31" fillId="0" borderId="42" xfId="26" applyNumberFormat="1" applyFont="1" applyFill="1" applyBorder="1" applyAlignment="1">
      <alignment horizontal="distributed" vertical="distributed"/>
    </xf>
    <xf numFmtId="176" fontId="31" fillId="0" borderId="43" xfId="26" applyNumberFormat="1" applyFont="1" applyFill="1" applyBorder="1" applyAlignment="1">
      <alignment horizontal="distributed" vertical="distributed"/>
    </xf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8" xfId="26" applyNumberFormat="1" applyFont="1" applyFill="1" applyBorder="1" applyAlignment="1">
      <alignment horizontal="right"/>
    </xf>
    <xf numFmtId="176" fontId="52" fillId="0" borderId="11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68" fontId="52" fillId="0" borderId="24" xfId="25" applyNumberFormat="1" applyFont="1" applyFill="1" applyBorder="1" applyAlignment="1">
      <alignment horizontal="right"/>
    </xf>
    <xf numFmtId="168" fontId="52" fillId="0" borderId="35" xfId="25" applyNumberFormat="1" applyFont="1" applyFill="1" applyBorder="1" applyAlignment="1">
      <alignment horizontal="right"/>
    </xf>
    <xf numFmtId="168" fontId="52" fillId="0" borderId="21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>
      <alignment horizontal="right"/>
    </xf>
    <xf numFmtId="168" fontId="52" fillId="0" borderId="2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/>
    <xf numFmtId="168" fontId="52" fillId="0" borderId="36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distributed" vertical="distributed"/>
    </xf>
    <xf numFmtId="0" fontId="11" fillId="0" borderId="48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6" fontId="31" fillId="0" borderId="53" xfId="26" applyNumberFormat="1" applyFont="1" applyFill="1" applyBorder="1" applyAlignment="1">
      <alignment horizontal="distributed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6" fontId="52" fillId="0" borderId="53" xfId="26" applyNumberFormat="1" applyFont="1" applyFill="1" applyBorder="1" applyAlignment="1">
      <alignment horizontal="center"/>
    </xf>
    <xf numFmtId="176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6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6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174" fontId="52" fillId="0" borderId="2" xfId="25" applyNumberFormat="1" applyFont="1" applyFill="1" applyBorder="1" applyAlignment="1"/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6" fontId="31" fillId="0" borderId="56" xfId="26" applyNumberFormat="1" applyFont="1" applyFill="1" applyBorder="1" applyAlignment="1">
      <alignment horizontal="distributed" vertical="distributed"/>
    </xf>
    <xf numFmtId="176" fontId="31" fillId="0" borderId="22" xfId="26" applyNumberFormat="1" applyFont="1" applyFill="1" applyBorder="1" applyAlignment="1">
      <alignment horizontal="distributed" vertical="distributed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right"/>
    </xf>
    <xf numFmtId="176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43" fontId="31" fillId="0" borderId="45" xfId="26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168" fontId="31" fillId="0" borderId="45" xfId="7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168" fontId="31" fillId="8" borderId="45" xfId="7" applyNumberFormat="1" applyFont="1" applyFill="1" applyBorder="1" applyAlignment="1">
      <alignment horizontal="right" vertical="distributed"/>
    </xf>
    <xf numFmtId="168" fontId="31" fillId="8" borderId="47" xfId="7" applyNumberFormat="1" applyFont="1" applyFill="1" applyBorder="1" applyAlignment="1">
      <alignment horizontal="right" vertical="distributed"/>
    </xf>
    <xf numFmtId="168" fontId="52" fillId="8" borderId="45" xfId="7" applyNumberFormat="1" applyFont="1" applyFill="1" applyBorder="1" applyAlignment="1">
      <alignment horizontal="center"/>
    </xf>
    <xf numFmtId="168" fontId="52" fillId="8" borderId="47" xfId="7" applyNumberFormat="1" applyFont="1" applyFill="1" applyBorder="1" applyAlignment="1">
      <alignment horizontal="center"/>
    </xf>
    <xf numFmtId="174" fontId="31" fillId="0" borderId="45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24" fillId="8" borderId="39" xfId="26" applyNumberFormat="1" applyFont="1" applyFill="1" applyBorder="1" applyAlignment="1">
      <alignment horizontal="distributed" vertical="distributed"/>
    </xf>
    <xf numFmtId="176" fontId="24" fillId="8" borderId="40" xfId="26" applyNumberFormat="1" applyFont="1" applyFill="1" applyBorder="1" applyAlignment="1">
      <alignment horizontal="distributed" vertical="distributed"/>
    </xf>
    <xf numFmtId="176" fontId="24" fillId="8" borderId="42" xfId="26" applyNumberFormat="1" applyFont="1" applyFill="1" applyBorder="1" applyAlignment="1">
      <alignment horizontal="distributed" vertical="distributed"/>
    </xf>
    <xf numFmtId="176" fontId="24" fillId="8" borderId="43" xfId="26" applyNumberFormat="1" applyFont="1" applyFill="1" applyBorder="1" applyAlignment="1">
      <alignment horizontal="distributed" vertical="distributed"/>
    </xf>
    <xf numFmtId="176" fontId="31" fillId="0" borderId="45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74" fontId="52" fillId="0" borderId="23" xfId="25" applyNumberFormat="1" applyFont="1" applyFill="1" applyBorder="1" applyAlignment="1"/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168" fontId="24" fillId="0" borderId="41" xfId="24" applyNumberFormat="1" applyFont="1" applyFill="1" applyBorder="1" applyAlignment="1"/>
    <xf numFmtId="168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8" fontId="24" fillId="0" borderId="41" xfId="7" applyNumberFormat="1" applyFont="1" applyFill="1" applyBorder="1" applyAlignment="1"/>
    <xf numFmtId="168" fontId="24" fillId="0" borderId="44" xfId="7" applyNumberFormat="1" applyFont="1" applyFill="1" applyBorder="1" applyAlignment="1"/>
    <xf numFmtId="168" fontId="31" fillId="0" borderId="1" xfId="24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8" fontId="31" fillId="0" borderId="1" xfId="7" applyNumberFormat="1" applyFont="1" applyFill="1" applyBorder="1" applyAlignment="1">
      <alignment horizontal="right" vertical="distributed"/>
    </xf>
    <xf numFmtId="168" fontId="31" fillId="0" borderId="39" xfId="26" applyNumberFormat="1" applyFont="1" applyFill="1" applyBorder="1" applyAlignment="1">
      <alignment horizontal="right" vertical="distributed"/>
    </xf>
    <xf numFmtId="168" fontId="31" fillId="0" borderId="40" xfId="26" applyNumberFormat="1" applyFont="1" applyFill="1" applyBorder="1" applyAlignment="1">
      <alignment horizontal="right" vertical="distributed"/>
    </xf>
    <xf numFmtId="168" fontId="31" fillId="0" borderId="42" xfId="26" applyNumberFormat="1" applyFont="1" applyFill="1" applyBorder="1" applyAlignment="1">
      <alignment horizontal="right" vertical="distributed"/>
    </xf>
    <xf numFmtId="168" fontId="31" fillId="0" borderId="43" xfId="26" applyNumberFormat="1" applyFont="1" applyFill="1" applyBorder="1" applyAlignment="1">
      <alignment horizontal="right" vertical="distributed"/>
    </xf>
    <xf numFmtId="168" fontId="24" fillId="0" borderId="39" xfId="26" applyNumberFormat="1" applyFont="1" applyFill="1" applyBorder="1" applyAlignment="1">
      <alignment horizontal="right" vertical="distributed"/>
    </xf>
    <xf numFmtId="168" fontId="24" fillId="0" borderId="40" xfId="26" applyNumberFormat="1" applyFont="1" applyFill="1" applyBorder="1" applyAlignment="1">
      <alignment horizontal="right" vertical="distributed"/>
    </xf>
    <xf numFmtId="168" fontId="24" fillId="0" borderId="42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45" xfId="26" applyNumberFormat="1" applyFont="1" applyFill="1" applyBorder="1" applyAlignment="1">
      <alignment horizontal="right" vertical="distributed"/>
    </xf>
    <xf numFmtId="168" fontId="31" fillId="0" borderId="47" xfId="26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168" fontId="31" fillId="0" borderId="48" xfId="26" applyNumberFormat="1" applyFont="1" applyFill="1" applyBorder="1" applyAlignment="1">
      <alignment horizontal="right" vertical="distributed"/>
    </xf>
    <xf numFmtId="168" fontId="31" fillId="0" borderId="11" xfId="26" applyNumberFormat="1" applyFont="1" applyFill="1" applyBorder="1" applyAlignment="1">
      <alignment horizontal="right" vertical="distributed"/>
    </xf>
    <xf numFmtId="168" fontId="24" fillId="0" borderId="48" xfId="26" applyNumberFormat="1" applyFont="1" applyFill="1" applyBorder="1" applyAlignment="1">
      <alignment horizontal="right" vertical="distributed"/>
    </xf>
    <xf numFmtId="168" fontId="24" fillId="0" borderId="11" xfId="26" applyNumberFormat="1" applyFont="1" applyFill="1" applyBorder="1" applyAlignment="1">
      <alignment horizontal="right" vertical="distributed"/>
    </xf>
    <xf numFmtId="168" fontId="31" fillId="0" borderId="24" xfId="24" applyNumberFormat="1" applyFont="1" applyFill="1" applyBorder="1" applyAlignment="1">
      <alignment horizontal="right" vertical="distributed"/>
    </xf>
    <xf numFmtId="168" fontId="31" fillId="0" borderId="35" xfId="24" applyNumberFormat="1" applyFont="1" applyFill="1" applyBorder="1" applyAlignment="1">
      <alignment horizontal="right" vertical="distributed"/>
    </xf>
    <xf numFmtId="168" fontId="31" fillId="0" borderId="21" xfId="24" applyNumberFormat="1" applyFont="1" applyFill="1" applyBorder="1" applyAlignment="1">
      <alignment horizontal="right" vertical="distributed"/>
    </xf>
    <xf numFmtId="168" fontId="31" fillId="0" borderId="23" xfId="24" applyNumberFormat="1" applyFont="1" applyFill="1" applyBorder="1" applyAlignment="1">
      <alignment horizontal="right" vertical="distributed"/>
    </xf>
    <xf numFmtId="168" fontId="31" fillId="0" borderId="36" xfId="24" applyNumberFormat="1" applyFont="1" applyFill="1" applyBorder="1" applyAlignment="1">
      <alignment horizontal="right" vertical="distributed"/>
    </xf>
    <xf numFmtId="168" fontId="31" fillId="0" borderId="2" xfId="24" applyNumberFormat="1" applyFont="1" applyFill="1" applyBorder="1" applyAlignment="1">
      <alignment horizontal="right" vertical="distributed"/>
    </xf>
    <xf numFmtId="168" fontId="11" fillId="0" borderId="40" xfId="9" applyNumberFormat="1" applyFont="1" applyFill="1" applyBorder="1" applyAlignment="1">
      <alignment horizontal="right" vertical="distributed"/>
    </xf>
    <xf numFmtId="168" fontId="11" fillId="0" borderId="48" xfId="9" applyNumberFormat="1" applyFont="1" applyFill="1" applyBorder="1" applyAlignment="1">
      <alignment horizontal="right" vertical="distributed"/>
    </xf>
    <xf numFmtId="168" fontId="11" fillId="0" borderId="11" xfId="9" applyNumberFormat="1" applyFont="1" applyFill="1" applyBorder="1" applyAlignment="1">
      <alignment horizontal="right" vertical="distributed"/>
    </xf>
    <xf numFmtId="168" fontId="11" fillId="0" borderId="49" xfId="9" applyNumberFormat="1" applyFont="1" applyFill="1" applyBorder="1" applyAlignment="1">
      <alignment horizontal="right" vertical="distributed"/>
    </xf>
    <xf numFmtId="168" fontId="11" fillId="0" borderId="17" xfId="9" applyNumberFormat="1" applyFont="1" applyFill="1" applyBorder="1" applyAlignment="1">
      <alignment horizontal="right" vertical="distributed"/>
    </xf>
    <xf numFmtId="168" fontId="31" fillId="0" borderId="50" xfId="26" applyNumberFormat="1" applyFont="1" applyFill="1" applyBorder="1" applyAlignment="1">
      <alignment horizontal="right" vertical="distributed"/>
    </xf>
    <xf numFmtId="168" fontId="11" fillId="0" borderId="52" xfId="9" applyNumberFormat="1" applyFont="1" applyFill="1" applyBorder="1" applyAlignment="1">
      <alignment horizontal="right" vertical="distributed"/>
    </xf>
    <xf numFmtId="168" fontId="31" fillId="0" borderId="53" xfId="26" applyNumberFormat="1" applyFont="1" applyFill="1" applyBorder="1" applyAlignment="1">
      <alignment horizontal="right" vertical="distributed"/>
    </xf>
    <xf numFmtId="168" fontId="31" fillId="0" borderId="55" xfId="26" applyNumberFormat="1" applyFont="1" applyFill="1" applyBorder="1" applyAlignment="1">
      <alignment horizontal="right" vertical="distributed"/>
    </xf>
    <xf numFmtId="168" fontId="24" fillId="0" borderId="49" xfId="26" applyNumberFormat="1" applyFont="1" applyFill="1" applyBorder="1" applyAlignment="1">
      <alignment horizontal="right" vertical="distributed"/>
    </xf>
    <xf numFmtId="168" fontId="24" fillId="0" borderId="17" xfId="26" applyNumberFormat="1" applyFont="1" applyFill="1" applyBorder="1" applyAlignment="1">
      <alignment horizontal="right" vertical="distributed"/>
    </xf>
    <xf numFmtId="168" fontId="31" fillId="0" borderId="49" xfId="26" applyNumberFormat="1" applyFont="1" applyFill="1" applyBorder="1" applyAlignment="1">
      <alignment horizontal="right" vertical="distributed"/>
    </xf>
    <xf numFmtId="168" fontId="31" fillId="0" borderId="17" xfId="26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4" fontId="31" fillId="0" borderId="39" xfId="26" applyNumberFormat="1" applyFont="1" applyFill="1" applyBorder="1" applyAlignment="1">
      <alignment horizontal="distributed" vertical="distributed"/>
    </xf>
    <xf numFmtId="174" fontId="31" fillId="0" borderId="40" xfId="26" applyNumberFormat="1" applyFont="1" applyFill="1" applyBorder="1" applyAlignment="1">
      <alignment horizontal="distributed" vertical="distributed"/>
    </xf>
    <xf numFmtId="174" fontId="31" fillId="0" borderId="42" xfId="26" applyNumberFormat="1" applyFont="1" applyFill="1" applyBorder="1" applyAlignment="1">
      <alignment horizontal="distributed" vertical="distributed"/>
    </xf>
    <xf numFmtId="174" fontId="31" fillId="0" borderId="43" xfId="26" applyNumberFormat="1" applyFont="1" applyFill="1" applyBorder="1" applyAlignment="1">
      <alignment horizontal="distributed" vertical="distributed"/>
    </xf>
    <xf numFmtId="174" fontId="31" fillId="0" borderId="45" xfId="26" applyNumberFormat="1" applyFont="1" applyFill="1" applyBorder="1" applyAlignment="1">
      <alignment horizontal="right" vertical="distributed"/>
    </xf>
    <xf numFmtId="174" fontId="31" fillId="0" borderId="47" xfId="26" applyNumberFormat="1" applyFont="1" applyFill="1" applyBorder="1" applyAlignment="1">
      <alignment horizontal="right" vertical="distributed"/>
    </xf>
    <xf numFmtId="0" fontId="31" fillId="0" borderId="0" xfId="3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74" fontId="24" fillId="0" borderId="39" xfId="26" applyNumberFormat="1" applyFont="1" applyFill="1" applyBorder="1" applyAlignment="1">
      <alignment horizontal="right" vertical="distributed"/>
    </xf>
    <xf numFmtId="174" fontId="24" fillId="0" borderId="40" xfId="26" applyNumberFormat="1" applyFont="1" applyFill="1" applyBorder="1" applyAlignment="1">
      <alignment horizontal="right" vertical="distributed"/>
    </xf>
    <xf numFmtId="174" fontId="24" fillId="0" borderId="42" xfId="26" applyNumberFormat="1" applyFont="1" applyFill="1" applyBorder="1" applyAlignment="1">
      <alignment horizontal="right" vertical="distributed"/>
    </xf>
    <xf numFmtId="174" fontId="24" fillId="0" borderId="43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/>
    <xf numFmtId="174" fontId="54" fillId="0" borderId="39" xfId="26" applyNumberFormat="1" applyFont="1" applyFill="1" applyBorder="1" applyAlignment="1">
      <alignment horizontal="center"/>
    </xf>
    <xf numFmtId="174" fontId="54" fillId="0" borderId="40" xfId="26" applyNumberFormat="1" applyFont="1" applyFill="1" applyBorder="1" applyAlignment="1">
      <alignment horizontal="center"/>
    </xf>
    <xf numFmtId="174" fontId="54" fillId="0" borderId="42" xfId="26" applyNumberFormat="1" applyFont="1" applyFill="1" applyBorder="1" applyAlignment="1">
      <alignment horizontal="center"/>
    </xf>
    <xf numFmtId="174" fontId="54" fillId="0" borderId="43" xfId="26" applyNumberFormat="1" applyFont="1" applyFill="1" applyBorder="1" applyAlignment="1">
      <alignment horizontal="center"/>
    </xf>
    <xf numFmtId="168" fontId="52" fillId="0" borderId="41" xfId="34" applyNumberFormat="1" applyFont="1" applyFill="1" applyBorder="1" applyAlignment="1"/>
    <xf numFmtId="168" fontId="52" fillId="0" borderId="44" xfId="34" applyNumberFormat="1" applyFont="1" applyFill="1" applyBorder="1" applyAlignment="1"/>
    <xf numFmtId="168" fontId="31" fillId="0" borderId="0" xfId="9" applyNumberFormat="1" applyFont="1" applyFill="1" applyAlignment="1">
      <alignment horizontal="right" vertical="center"/>
    </xf>
    <xf numFmtId="174" fontId="52" fillId="0" borderId="39" xfId="26" applyNumberFormat="1" applyFont="1" applyFill="1" applyBorder="1" applyAlignment="1">
      <alignment horizontal="center"/>
    </xf>
    <xf numFmtId="174" fontId="52" fillId="0" borderId="40" xfId="26" applyNumberFormat="1" applyFont="1" applyFill="1" applyBorder="1" applyAlignment="1">
      <alignment horizontal="center"/>
    </xf>
    <xf numFmtId="174" fontId="52" fillId="0" borderId="42" xfId="26" applyNumberFormat="1" applyFont="1" applyFill="1" applyBorder="1" applyAlignment="1">
      <alignment horizontal="center"/>
    </xf>
    <xf numFmtId="174" fontId="52" fillId="0" borderId="43" xfId="26" applyNumberFormat="1" applyFont="1" applyFill="1" applyBorder="1" applyAlignment="1">
      <alignment horizontal="center"/>
    </xf>
    <xf numFmtId="174" fontId="31" fillId="0" borderId="40" xfId="26" applyNumberFormat="1" applyFont="1" applyFill="1" applyBorder="1" applyAlignment="1">
      <alignment horizontal="right" vertical="distributed"/>
    </xf>
    <xf numFmtId="174" fontId="31" fillId="0" borderId="43" xfId="26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74" fontId="52" fillId="0" borderId="45" xfId="26" applyNumberFormat="1" applyFont="1" applyFill="1" applyBorder="1" applyAlignment="1">
      <alignment horizontal="center"/>
    </xf>
    <xf numFmtId="174" fontId="52" fillId="0" borderId="47" xfId="26" applyNumberFormat="1" applyFont="1" applyFill="1" applyBorder="1" applyAlignment="1">
      <alignment horizontal="center"/>
    </xf>
    <xf numFmtId="174" fontId="31" fillId="0" borderId="39" xfId="26" applyNumberFormat="1" applyFont="1" applyFill="1" applyBorder="1" applyAlignment="1">
      <alignment horizontal="right" vertical="distributed"/>
    </xf>
    <xf numFmtId="174" fontId="31" fillId="0" borderId="42" xfId="26" applyNumberFormat="1" applyFont="1" applyFill="1" applyBorder="1" applyAlignment="1">
      <alignment horizontal="right" vertical="distributed"/>
    </xf>
    <xf numFmtId="174" fontId="24" fillId="0" borderId="48" xfId="26" applyNumberFormat="1" applyFont="1" applyFill="1" applyBorder="1" applyAlignment="1">
      <alignment horizontal="right" vertical="distributed"/>
    </xf>
    <xf numFmtId="174" fontId="24" fillId="0" borderId="11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>
      <alignment horizontal="right"/>
    </xf>
    <xf numFmtId="174" fontId="31" fillId="0" borderId="48" xfId="26" applyNumberFormat="1" applyFont="1" applyFill="1" applyBorder="1" applyAlignment="1">
      <alignment horizontal="right" vertical="distributed"/>
    </xf>
    <xf numFmtId="174" fontId="31" fillId="0" borderId="11" xfId="26" applyNumberFormat="1" applyFont="1" applyFill="1" applyBorder="1" applyAlignment="1">
      <alignment horizontal="right" vertical="distributed"/>
    </xf>
    <xf numFmtId="174" fontId="54" fillId="0" borderId="39" xfId="26" applyNumberFormat="1" applyFont="1" applyFill="1" applyBorder="1" applyAlignment="1">
      <alignment horizontal="right"/>
    </xf>
    <xf numFmtId="174" fontId="54" fillId="0" borderId="40" xfId="26" applyNumberFormat="1" applyFont="1" applyFill="1" applyBorder="1" applyAlignment="1">
      <alignment horizontal="right"/>
    </xf>
    <xf numFmtId="174" fontId="54" fillId="0" borderId="48" xfId="26" applyNumberFormat="1" applyFont="1" applyFill="1" applyBorder="1" applyAlignment="1">
      <alignment horizontal="right"/>
    </xf>
    <xf numFmtId="174" fontId="54" fillId="0" borderId="11" xfId="26" applyNumberFormat="1" applyFont="1" applyFill="1" applyBorder="1" applyAlignment="1">
      <alignment horizontal="right"/>
    </xf>
    <xf numFmtId="174" fontId="54" fillId="0" borderId="42" xfId="26" applyNumberFormat="1" applyFont="1" applyFill="1" applyBorder="1" applyAlignment="1">
      <alignment horizontal="right"/>
    </xf>
    <xf numFmtId="174" fontId="54" fillId="0" borderId="43" xfId="26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center"/>
    </xf>
    <xf numFmtId="174" fontId="52" fillId="0" borderId="11" xfId="26" applyNumberFormat="1" applyFont="1" applyFill="1" applyBorder="1" applyAlignment="1">
      <alignment horizontal="center"/>
    </xf>
    <xf numFmtId="174" fontId="31" fillId="0" borderId="48" xfId="26" applyNumberFormat="1" applyFont="1" applyFill="1" applyBorder="1" applyAlignment="1">
      <alignment horizontal="distributed" vertical="distributed"/>
    </xf>
    <xf numFmtId="174" fontId="31" fillId="0" borderId="11" xfId="26" applyNumberFormat="1" applyFont="1" applyFill="1" applyBorder="1" applyAlignment="1">
      <alignment horizontal="distributed" vertical="distributed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4" fontId="52" fillId="0" borderId="39" xfId="26" applyNumberFormat="1" applyFont="1" applyFill="1" applyBorder="1" applyAlignment="1">
      <alignment horizontal="right"/>
    </xf>
    <xf numFmtId="174" fontId="52" fillId="0" borderId="40" xfId="26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right"/>
    </xf>
    <xf numFmtId="174" fontId="52" fillId="0" borderId="11" xfId="26" applyNumberFormat="1" applyFont="1" applyFill="1" applyBorder="1" applyAlignment="1">
      <alignment horizontal="right"/>
    </xf>
    <xf numFmtId="174" fontId="52" fillId="0" borderId="42" xfId="26" applyNumberFormat="1" applyFont="1" applyFill="1" applyBorder="1" applyAlignment="1">
      <alignment horizontal="right"/>
    </xf>
    <xf numFmtId="174" fontId="52" fillId="0" borderId="43" xfId="26" applyNumberFormat="1" applyFont="1" applyFill="1" applyBorder="1" applyAlignment="1">
      <alignment horizontal="right"/>
    </xf>
    <xf numFmtId="183" fontId="31" fillId="0" borderId="39" xfId="26" applyNumberFormat="1" applyFont="1" applyFill="1" applyBorder="1" applyAlignment="1">
      <alignment horizontal="right" vertical="distributed"/>
    </xf>
    <xf numFmtId="183" fontId="31" fillId="0" borderId="40" xfId="26" applyNumberFormat="1" applyFont="1" applyFill="1" applyBorder="1" applyAlignment="1">
      <alignment horizontal="right" vertical="distributed"/>
    </xf>
    <xf numFmtId="183" fontId="31" fillId="0" borderId="48" xfId="26" applyNumberFormat="1" applyFont="1" applyFill="1" applyBorder="1" applyAlignment="1">
      <alignment horizontal="right" vertical="distributed"/>
    </xf>
    <xf numFmtId="183" fontId="31" fillId="0" borderId="11" xfId="26" applyNumberFormat="1" applyFont="1" applyFill="1" applyBorder="1" applyAlignment="1">
      <alignment horizontal="right" vertical="distributed"/>
    </xf>
    <xf numFmtId="183" fontId="31" fillId="0" borderId="42" xfId="26" applyNumberFormat="1" applyFont="1" applyFill="1" applyBorder="1" applyAlignment="1">
      <alignment horizontal="right" vertical="distributed"/>
    </xf>
    <xf numFmtId="183" fontId="31" fillId="0" borderId="43" xfId="26" applyNumberFormat="1" applyFont="1" applyFill="1" applyBorder="1" applyAlignment="1">
      <alignment horizontal="right" vertical="distributed"/>
    </xf>
    <xf numFmtId="183" fontId="52" fillId="0" borderId="24" xfId="34" applyNumberFormat="1" applyFont="1" applyFill="1" applyBorder="1" applyAlignment="1">
      <alignment horizontal="right"/>
    </xf>
    <xf numFmtId="183" fontId="52" fillId="0" borderId="35" xfId="34" applyNumberFormat="1" applyFont="1" applyFill="1" applyBorder="1" applyAlignment="1">
      <alignment horizontal="right"/>
    </xf>
    <xf numFmtId="183" fontId="52" fillId="0" borderId="21" xfId="34" applyNumberFormat="1" applyFont="1" applyFill="1" applyBorder="1" applyAlignment="1">
      <alignment horizontal="right"/>
    </xf>
    <xf numFmtId="183" fontId="52" fillId="0" borderId="23" xfId="34" applyNumberFormat="1" applyFont="1" applyFill="1" applyBorder="1" applyAlignment="1">
      <alignment horizontal="right"/>
    </xf>
    <xf numFmtId="183" fontId="52" fillId="0" borderId="36" xfId="34" applyNumberFormat="1" applyFont="1" applyFill="1" applyBorder="1" applyAlignment="1">
      <alignment horizontal="right"/>
    </xf>
    <xf numFmtId="183" fontId="52" fillId="0" borderId="2" xfId="34" applyNumberFormat="1" applyFont="1" applyFill="1" applyBorder="1" applyAlignment="1">
      <alignment horizontal="right"/>
    </xf>
    <xf numFmtId="183" fontId="52" fillId="0" borderId="39" xfId="26" applyNumberFormat="1" applyFont="1" applyFill="1" applyBorder="1" applyAlignment="1">
      <alignment horizontal="right"/>
    </xf>
    <xf numFmtId="183" fontId="52" fillId="0" borderId="40" xfId="26" applyNumberFormat="1" applyFont="1" applyFill="1" applyBorder="1" applyAlignment="1">
      <alignment horizontal="right"/>
    </xf>
    <xf numFmtId="183" fontId="52" fillId="0" borderId="48" xfId="26" applyNumberFormat="1" applyFont="1" applyFill="1" applyBorder="1" applyAlignment="1">
      <alignment horizontal="right"/>
    </xf>
    <xf numFmtId="183" fontId="52" fillId="0" borderId="11" xfId="26" applyNumberFormat="1" applyFont="1" applyFill="1" applyBorder="1" applyAlignment="1">
      <alignment horizontal="right"/>
    </xf>
    <xf numFmtId="183" fontId="52" fillId="0" borderId="42" xfId="26" applyNumberFormat="1" applyFont="1" applyFill="1" applyBorder="1" applyAlignment="1">
      <alignment horizontal="right"/>
    </xf>
    <xf numFmtId="183" fontId="52" fillId="0" borderId="43" xfId="26" applyNumberFormat="1" applyFont="1" applyFill="1" applyBorder="1" applyAlignment="1">
      <alignment horizontal="right"/>
    </xf>
    <xf numFmtId="174" fontId="11" fillId="0" borderId="40" xfId="9" applyNumberFormat="1" applyFont="1" applyFill="1" applyBorder="1" applyAlignment="1">
      <alignment horizontal="right" vertical="distributed"/>
    </xf>
    <xf numFmtId="174" fontId="11" fillId="0" borderId="48" xfId="9" applyNumberFormat="1" applyFont="1" applyFill="1" applyBorder="1" applyAlignment="1">
      <alignment horizontal="right" vertical="distributed"/>
    </xf>
    <xf numFmtId="174" fontId="11" fillId="0" borderId="11" xfId="9" applyNumberFormat="1" applyFont="1" applyFill="1" applyBorder="1" applyAlignment="1">
      <alignment horizontal="right" vertical="distributed"/>
    </xf>
    <xf numFmtId="174" fontId="11" fillId="0" borderId="49" xfId="9" applyNumberFormat="1" applyFont="1" applyFill="1" applyBorder="1" applyAlignment="1">
      <alignment horizontal="right" vertical="distributed"/>
    </xf>
    <xf numFmtId="174" fontId="11" fillId="0" borderId="17" xfId="9" applyNumberFormat="1" applyFont="1" applyFill="1" applyBorder="1" applyAlignment="1">
      <alignment horizontal="right" vertical="distributed"/>
    </xf>
    <xf numFmtId="174" fontId="8" fillId="0" borderId="40" xfId="9" applyNumberFormat="1" applyFill="1" applyBorder="1" applyAlignment="1">
      <alignment horizontal="right"/>
    </xf>
    <xf numFmtId="174" fontId="8" fillId="0" borderId="48" xfId="9" applyNumberFormat="1" applyFill="1" applyBorder="1" applyAlignment="1">
      <alignment horizontal="right"/>
    </xf>
    <xf numFmtId="174" fontId="8" fillId="0" borderId="11" xfId="9" applyNumberFormat="1" applyFill="1" applyBorder="1" applyAlignment="1">
      <alignment horizontal="right"/>
    </xf>
    <xf numFmtId="174" fontId="8" fillId="0" borderId="49" xfId="9" applyNumberFormat="1" applyFill="1" applyBorder="1" applyAlignment="1">
      <alignment horizontal="right"/>
    </xf>
    <xf numFmtId="174" fontId="8" fillId="0" borderId="17" xfId="9" applyNumberFormat="1" applyFill="1" applyBorder="1" applyAlignment="1">
      <alignment horizontal="right"/>
    </xf>
    <xf numFmtId="174" fontId="31" fillId="0" borderId="50" xfId="26" applyNumberFormat="1" applyFont="1" applyFill="1" applyBorder="1" applyAlignment="1">
      <alignment horizontal="right" vertical="distributed"/>
    </xf>
    <xf numFmtId="174" fontId="11" fillId="0" borderId="52" xfId="9" applyNumberFormat="1" applyFont="1" applyFill="1" applyBorder="1" applyAlignment="1">
      <alignment horizontal="right" vertical="distributed"/>
    </xf>
    <xf numFmtId="174" fontId="52" fillId="0" borderId="50" xfId="26" applyNumberFormat="1" applyFont="1" applyFill="1" applyBorder="1" applyAlignment="1">
      <alignment horizontal="right"/>
    </xf>
    <xf numFmtId="174" fontId="8" fillId="0" borderId="52" xfId="9" applyNumberFormat="1" applyFill="1" applyBorder="1" applyAlignment="1">
      <alignment horizontal="right"/>
    </xf>
    <xf numFmtId="174" fontId="52" fillId="0" borderId="23" xfId="34" applyNumberFormat="1" applyFont="1" applyFill="1" applyBorder="1" applyAlignment="1">
      <alignment horizontal="right"/>
    </xf>
    <xf numFmtId="174" fontId="31" fillId="0" borderId="53" xfId="26" applyNumberFormat="1" applyFont="1" applyFill="1" applyBorder="1" applyAlignment="1">
      <alignment horizontal="right" vertical="distributed"/>
    </xf>
    <xf numFmtId="174" fontId="31" fillId="0" borderId="55" xfId="26" applyNumberFormat="1" applyFont="1" applyFill="1" applyBorder="1" applyAlignment="1">
      <alignment horizontal="right" vertical="distributed"/>
    </xf>
    <xf numFmtId="174" fontId="52" fillId="0" borderId="53" xfId="26" applyNumberFormat="1" applyFont="1" applyFill="1" applyBorder="1" applyAlignment="1">
      <alignment horizontal="right"/>
    </xf>
    <xf numFmtId="174" fontId="52" fillId="0" borderId="55" xfId="26" applyNumberFormat="1" applyFont="1" applyFill="1" applyBorder="1" applyAlignment="1">
      <alignment horizontal="right"/>
    </xf>
    <xf numFmtId="174" fontId="31" fillId="0" borderId="56" xfId="26" applyNumberFormat="1" applyFont="1" applyFill="1" applyBorder="1" applyAlignment="1">
      <alignment horizontal="right" vertical="distributed"/>
    </xf>
    <xf numFmtId="174" fontId="31" fillId="0" borderId="22" xfId="26" applyNumberFormat="1" applyFont="1" applyFill="1" applyBorder="1" applyAlignment="1">
      <alignment horizontal="right" vertical="distributed"/>
    </xf>
    <xf numFmtId="174" fontId="52" fillId="0" borderId="2" xfId="34" applyNumberFormat="1" applyFont="1" applyFill="1" applyBorder="1" applyAlignment="1">
      <alignment horizontal="right"/>
    </xf>
    <xf numFmtId="174" fontId="52" fillId="0" borderId="49" xfId="26" applyNumberFormat="1" applyFont="1" applyFill="1" applyBorder="1" applyAlignment="1">
      <alignment horizontal="right"/>
    </xf>
    <xf numFmtId="174" fontId="52" fillId="0" borderId="17" xfId="26" applyNumberFormat="1" applyFont="1" applyFill="1" applyBorder="1" applyAlignment="1">
      <alignment horizontal="right"/>
    </xf>
    <xf numFmtId="174" fontId="54" fillId="0" borderId="49" xfId="26" applyNumberFormat="1" applyFont="1" applyFill="1" applyBorder="1" applyAlignment="1">
      <alignment horizontal="right"/>
    </xf>
    <xf numFmtId="174" fontId="54" fillId="0" borderId="17" xfId="26" applyNumberFormat="1" applyFont="1" applyFill="1" applyBorder="1" applyAlignment="1">
      <alignment horizontal="right"/>
    </xf>
    <xf numFmtId="174" fontId="24" fillId="0" borderId="39" xfId="26" applyNumberFormat="1" applyFont="1" applyFill="1" applyBorder="1" applyAlignment="1">
      <alignment horizontal="distributed" vertical="distributed"/>
    </xf>
    <xf numFmtId="174" fontId="24" fillId="0" borderId="40" xfId="26" applyNumberFormat="1" applyFont="1" applyFill="1" applyBorder="1" applyAlignment="1">
      <alignment horizontal="distributed" vertical="distributed"/>
    </xf>
    <xf numFmtId="174" fontId="24" fillId="0" borderId="42" xfId="26" applyNumberFormat="1" applyFont="1" applyFill="1" applyBorder="1" applyAlignment="1">
      <alignment horizontal="distributed" vertical="distributed"/>
    </xf>
    <xf numFmtId="174" fontId="24" fillId="0" borderId="43" xfId="26" applyNumberFormat="1" applyFont="1" applyFill="1" applyBorder="1" applyAlignment="1">
      <alignment horizontal="distributed" vertical="distributed"/>
    </xf>
    <xf numFmtId="174" fontId="54" fillId="0" borderId="27" xfId="26" applyNumberFormat="1" applyFont="1" applyFill="1" applyBorder="1" applyAlignment="1">
      <alignment horizontal="right"/>
    </xf>
    <xf numFmtId="174" fontId="54" fillId="0" borderId="0" xfId="26" applyNumberFormat="1" applyFont="1" applyFill="1" applyBorder="1" applyAlignment="1">
      <alignment horizontal="right"/>
    </xf>
    <xf numFmtId="174" fontId="54" fillId="0" borderId="38" xfId="26" applyNumberFormat="1" applyFont="1" applyFill="1" applyBorder="1" applyAlignment="1">
      <alignment horizontal="right"/>
    </xf>
    <xf numFmtId="174" fontId="24" fillId="0" borderId="41" xfId="26" applyNumberFormat="1" applyFont="1" applyFill="1" applyBorder="1" applyAlignment="1">
      <alignment horizontal="right" vertical="distributed"/>
    </xf>
    <xf numFmtId="174" fontId="24" fillId="0" borderId="72" xfId="26" applyNumberFormat="1" applyFont="1" applyFill="1" applyBorder="1" applyAlignment="1">
      <alignment horizontal="right" vertical="distributed"/>
    </xf>
    <xf numFmtId="174" fontId="24" fillId="0" borderId="44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0" fontId="31" fillId="0" borderId="45" xfId="7" applyFont="1" applyFill="1" applyBorder="1" applyAlignment="1">
      <alignment horizontal="left" vertical="center" wrapText="1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4" fontId="31" fillId="0" borderId="45" xfId="26" applyNumberFormat="1" applyFont="1" applyFill="1" applyBorder="1" applyAlignment="1">
      <alignment vertical="distributed"/>
    </xf>
    <xf numFmtId="174" fontId="31" fillId="0" borderId="47" xfId="26" applyNumberFormat="1" applyFont="1" applyFill="1" applyBorder="1" applyAlignment="1">
      <alignment vertical="distributed"/>
    </xf>
    <xf numFmtId="174" fontId="52" fillId="0" borderId="75" xfId="34" applyNumberFormat="1" applyFont="1" applyFill="1" applyBorder="1" applyAlignment="1">
      <alignment horizontal="right"/>
    </xf>
    <xf numFmtId="174" fontId="52" fillId="0" borderId="4" xfId="34" applyNumberFormat="1" applyFont="1" applyFill="1" applyBorder="1" applyAlignment="1">
      <alignment horizontal="right"/>
    </xf>
    <xf numFmtId="176" fontId="24" fillId="0" borderId="41" xfId="26" applyNumberFormat="1" applyFont="1" applyFill="1" applyBorder="1" applyAlignment="1">
      <alignment horizontal="distributed" vertical="distributed"/>
    </xf>
    <xf numFmtId="176" fontId="24" fillId="0" borderId="72" xfId="26" applyNumberFormat="1" applyFont="1" applyFill="1" applyBorder="1" applyAlignment="1">
      <alignment horizontal="distributed" vertical="distributed"/>
    </xf>
    <xf numFmtId="176" fontId="24" fillId="0" borderId="44" xfId="26" applyNumberFormat="1" applyFont="1" applyFill="1" applyBorder="1" applyAlignment="1">
      <alignment horizontal="distributed" vertical="distributed"/>
    </xf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7" fontId="54" fillId="0" borderId="27" xfId="26" applyNumberFormat="1" applyFont="1" applyFill="1" applyBorder="1" applyAlignment="1">
      <alignment horizontal="right"/>
    </xf>
    <xf numFmtId="177" fontId="54" fillId="0" borderId="0" xfId="26" applyNumberFormat="1" applyFont="1" applyFill="1" applyBorder="1" applyAlignment="1">
      <alignment horizontal="right"/>
    </xf>
    <xf numFmtId="177" fontId="54" fillId="0" borderId="38" xfId="26" applyNumberFormat="1" applyFont="1" applyFill="1" applyBorder="1" applyAlignment="1">
      <alignment horizontal="right"/>
    </xf>
    <xf numFmtId="168" fontId="52" fillId="0" borderId="75" xfId="25" applyNumberFormat="1" applyFont="1" applyFill="1" applyBorder="1" applyAlignment="1"/>
    <xf numFmtId="168" fontId="52" fillId="0" borderId="4" xfId="25" applyNumberFormat="1" applyFont="1" applyFill="1" applyBorder="1" applyAlignment="1"/>
    <xf numFmtId="176" fontId="31" fillId="0" borderId="0" xfId="46" applyNumberFormat="1" applyFont="1" applyFill="1" applyAlignment="1">
      <alignment horizontal="right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4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3" fontId="31" fillId="0" borderId="0" xfId="3" applyNumberFormat="1" applyFont="1" applyFill="1" applyAlignment="1">
      <alignment horizontal="right"/>
    </xf>
    <xf numFmtId="183" fontId="31" fillId="0" borderId="0" xfId="24" applyNumberFormat="1" applyFont="1" applyFill="1" applyAlignment="1">
      <alignment horizontal="right"/>
    </xf>
    <xf numFmtId="0" fontId="53" fillId="0" borderId="0" xfId="54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183" fontId="24" fillId="0" borderId="0" xfId="3" applyNumberFormat="1" applyFont="1" applyFill="1" applyAlignment="1">
      <alignment horizontal="right"/>
    </xf>
    <xf numFmtId="183" fontId="24" fillId="0" borderId="0" xfId="24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6" fontId="11" fillId="0" borderId="23" xfId="3" applyNumberFormat="1" applyFont="1" applyBorder="1" applyAlignment="1">
      <alignment horizontal="center" vertical="center"/>
    </xf>
    <xf numFmtId="166" fontId="11" fillId="0" borderId="2" xfId="3" applyNumberFormat="1" applyFont="1" applyBorder="1" applyAlignment="1">
      <alignment horizontal="center" vertical="center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168" fontId="11" fillId="0" borderId="23" xfId="3" applyNumberFormat="1" applyFont="1" applyBorder="1" applyAlignment="1">
      <alignment horizontal="center" vertical="center"/>
    </xf>
    <xf numFmtId="168" fontId="11" fillId="0" borderId="2" xfId="3" applyNumberFormat="1" applyFont="1" applyBorder="1" applyAlignment="1">
      <alignment horizontal="center" vertical="center"/>
    </xf>
    <xf numFmtId="0" fontId="35" fillId="0" borderId="0" xfId="7" applyFont="1" applyAlignment="1">
      <alignment horizontal="right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1" fillId="7" borderId="8" xfId="9" applyFont="1" applyFill="1" applyBorder="1" applyAlignment="1">
      <alignment horizontal="left" vertical="center" wrapText="1"/>
    </xf>
    <xf numFmtId="0" fontId="11" fillId="0" borderId="1" xfId="9" applyFont="1" applyBorder="1" applyAlignment="1">
      <alignment horizontal="center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1" xfId="9" applyFont="1" applyFill="1" applyBorder="1" applyAlignment="1">
      <alignment horizontal="center" vertical="center"/>
    </xf>
    <xf numFmtId="0" fontId="12" fillId="0" borderId="72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3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70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56" xfId="9" applyFont="1" applyFill="1" applyBorder="1" applyAlignment="1">
      <alignment horizontal="left" vertical="center" wrapText="1"/>
    </xf>
    <xf numFmtId="0" fontId="11" fillId="0" borderId="48" xfId="9" applyFont="1" applyFill="1" applyBorder="1" applyAlignment="1">
      <alignment horizontal="left" vertical="center" wrapText="1"/>
    </xf>
    <xf numFmtId="0" fontId="11" fillId="0" borderId="49" xfId="9" applyFont="1" applyFill="1" applyBorder="1" applyAlignment="1">
      <alignment horizontal="left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11" fillId="0" borderId="36" xfId="9" applyFont="1" applyFill="1" applyBorder="1" applyAlignment="1">
      <alignment horizontal="center" vertical="center" wrapText="1"/>
    </xf>
    <xf numFmtId="0" fontId="11" fillId="0" borderId="75" xfId="9" applyFont="1" applyFill="1" applyBorder="1" applyAlignment="1">
      <alignment horizontal="center" vertical="center" wrapText="1"/>
    </xf>
    <xf numFmtId="0" fontId="11" fillId="0" borderId="42" xfId="9" applyFont="1" applyFill="1" applyBorder="1" applyAlignment="1">
      <alignment horizontal="left" vertical="center" wrapText="1"/>
    </xf>
    <xf numFmtId="0" fontId="31" fillId="0" borderId="0" xfId="7" applyFont="1" applyFill="1" applyAlignment="1">
      <alignment horizontal="right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5.816406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7.1796875" style="547" hidden="1" customWidth="1"/>
    <col min="22" max="23" width="14.81640625" style="547" customWidth="1"/>
    <col min="24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870"/>
    </row>
    <row r="2" spans="8:23" hidden="1" x14ac:dyDescent="0.35">
      <c r="J2" s="541"/>
      <c r="L2" s="869" t="s">
        <v>450</v>
      </c>
      <c r="M2" s="870"/>
      <c r="N2" s="870"/>
    </row>
    <row r="3" spans="8:23" hidden="1" x14ac:dyDescent="0.3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idden="1" x14ac:dyDescent="0.35">
      <c r="I4" s="541"/>
      <c r="J4" s="541"/>
      <c r="L4" s="869" t="s">
        <v>448</v>
      </c>
      <c r="M4" s="870"/>
      <c r="N4" s="870"/>
      <c r="O4" s="870"/>
    </row>
    <row r="5" spans="8:23" hidden="1" x14ac:dyDescent="0.35">
      <c r="I5" s="541"/>
      <c r="J5" s="541"/>
      <c r="L5" s="869" t="s">
        <v>448</v>
      </c>
      <c r="M5" s="870"/>
      <c r="N5" s="870"/>
      <c r="O5" s="870"/>
    </row>
    <row r="6" spans="8:23" hidden="1" x14ac:dyDescent="0.35">
      <c r="J6" s="541"/>
      <c r="L6" s="876" t="s">
        <v>627</v>
      </c>
      <c r="M6" s="872"/>
      <c r="N6" s="872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3023" t="s">
        <v>625</v>
      </c>
      <c r="V12" s="3023"/>
      <c r="W12" s="3023"/>
    </row>
    <row r="13" spans="8:23" x14ac:dyDescent="0.35">
      <c r="Q13" s="877"/>
      <c r="U13" s="3023" t="s">
        <v>450</v>
      </c>
      <c r="V13" s="3023"/>
      <c r="W13" s="3023"/>
    </row>
    <row r="14" spans="8:23" x14ac:dyDescent="0.35">
      <c r="M14" s="261"/>
      <c r="N14" s="261"/>
      <c r="O14" s="261"/>
      <c r="P14" s="261"/>
      <c r="Q14" s="261"/>
      <c r="R14" s="261"/>
      <c r="S14" s="3023" t="s">
        <v>449</v>
      </c>
      <c r="T14" s="3023"/>
      <c r="U14" s="3023"/>
      <c r="V14" s="3023"/>
      <c r="W14" s="3023"/>
    </row>
    <row r="15" spans="8:23" x14ac:dyDescent="0.35">
      <c r="M15" s="261"/>
      <c r="N15" s="261"/>
      <c r="O15" s="261"/>
      <c r="P15" s="261"/>
      <c r="Q15" s="261"/>
      <c r="R15" s="261"/>
      <c r="T15" s="3023" t="s">
        <v>448</v>
      </c>
      <c r="U15" s="3023"/>
      <c r="V15" s="3023"/>
      <c r="W15" s="3023"/>
    </row>
    <row r="16" spans="8:23" x14ac:dyDescent="0.35">
      <c r="Q16" s="541"/>
      <c r="R16" s="387" t="s">
        <v>617</v>
      </c>
      <c r="U16" s="3027" t="s">
        <v>892</v>
      </c>
      <c r="V16" s="3027"/>
      <c r="W16" s="3027"/>
    </row>
    <row r="17" spans="1:23" x14ac:dyDescent="0.35">
      <c r="Q17" s="541"/>
      <c r="R17" s="870"/>
      <c r="S17" s="870"/>
      <c r="T17" s="870"/>
      <c r="U17" s="870"/>
    </row>
    <row r="18" spans="1:23" hidden="1" x14ac:dyDescent="0.35">
      <c r="L18" s="870" t="s">
        <v>446</v>
      </c>
      <c r="Q18" s="541"/>
      <c r="R18" s="870"/>
      <c r="S18" s="870"/>
      <c r="T18" s="870"/>
    </row>
    <row r="19" spans="1:23" hidden="1" x14ac:dyDescent="0.35">
      <c r="L19" s="541"/>
      <c r="Q19" s="541"/>
      <c r="R19" s="870"/>
      <c r="S19" s="870"/>
      <c r="T19" s="870"/>
      <c r="U19" s="870"/>
    </row>
    <row r="20" spans="1:23" hidden="1" x14ac:dyDescent="0.35">
      <c r="L20" s="870" t="s">
        <v>842</v>
      </c>
      <c r="Q20" s="541"/>
      <c r="R20" s="870"/>
      <c r="S20" s="870"/>
      <c r="T20" s="870"/>
    </row>
    <row r="21" spans="1:23" x14ac:dyDescent="0.35">
      <c r="J21" s="870"/>
      <c r="K21" s="869"/>
      <c r="L21" s="870"/>
    </row>
    <row r="22" spans="1:23" x14ac:dyDescent="0.35">
      <c r="J22" s="870"/>
      <c r="K22" s="869"/>
      <c r="L22" s="869"/>
    </row>
    <row r="23" spans="1:23" hidden="1" x14ac:dyDescent="0.35"/>
    <row r="24" spans="1:23" ht="19.5" customHeight="1" x14ac:dyDescent="0.35">
      <c r="A24" s="3024" t="s">
        <v>629</v>
      </c>
      <c r="B24" s="3024"/>
      <c r="C24" s="3024"/>
      <c r="D24" s="3024"/>
      <c r="E24" s="3024"/>
      <c r="F24" s="3024"/>
      <c r="G24" s="3024"/>
      <c r="H24" s="3024"/>
      <c r="I24" s="3024"/>
      <c r="J24" s="3024"/>
      <c r="K24" s="3024"/>
      <c r="L24" s="3024"/>
      <c r="M24" s="3024"/>
      <c r="N24" s="3024"/>
      <c r="O24" s="3024"/>
      <c r="P24" s="3024"/>
      <c r="Q24" s="3024"/>
      <c r="R24" s="3024"/>
      <c r="S24" s="3024"/>
      <c r="T24" s="3024"/>
      <c r="U24" s="3024"/>
      <c r="V24" s="3024"/>
      <c r="W24" s="3024"/>
    </row>
    <row r="25" spans="1:23" ht="17.5" x14ac:dyDescent="0.35">
      <c r="A25" s="3024" t="s">
        <v>630</v>
      </c>
      <c r="B25" s="3024"/>
      <c r="C25" s="3024"/>
      <c r="D25" s="3024"/>
      <c r="E25" s="3024"/>
      <c r="F25" s="3024"/>
      <c r="G25" s="3024"/>
      <c r="H25" s="3024"/>
      <c r="I25" s="3024"/>
      <c r="J25" s="3024"/>
      <c r="K25" s="3024"/>
      <c r="L25" s="3024"/>
      <c r="M25" s="3024"/>
      <c r="N25" s="3024"/>
      <c r="O25" s="3024"/>
      <c r="P25" s="3024"/>
      <c r="Q25" s="3024"/>
      <c r="R25" s="3024"/>
      <c r="S25" s="3024"/>
      <c r="T25" s="3024"/>
      <c r="U25" s="3024"/>
      <c r="V25" s="3024"/>
      <c r="W25" s="3024"/>
    </row>
    <row r="26" spans="1:23" ht="17.5" hidden="1" x14ac:dyDescent="0.35">
      <c r="A26" s="3024"/>
      <c r="B26" s="3024"/>
      <c r="C26" s="3024"/>
      <c r="D26" s="3024"/>
      <c r="E26" s="3024"/>
      <c r="F26" s="3024"/>
      <c r="G26" s="3024"/>
      <c r="H26" s="3024"/>
      <c r="I26" s="3024"/>
      <c r="J26" s="3024"/>
      <c r="K26" s="3024"/>
      <c r="L26" s="3024"/>
    </row>
    <row r="27" spans="1:23" ht="17.5" x14ac:dyDescent="0.35">
      <c r="A27" s="3024" t="s">
        <v>945</v>
      </c>
      <c r="B27" s="3024"/>
      <c r="C27" s="3024"/>
      <c r="D27" s="3024"/>
      <c r="E27" s="3024"/>
      <c r="F27" s="3024"/>
      <c r="G27" s="3024"/>
      <c r="H27" s="3024"/>
      <c r="I27" s="3024"/>
      <c r="J27" s="3024"/>
      <c r="K27" s="3024"/>
      <c r="L27" s="3024"/>
      <c r="M27" s="3024"/>
      <c r="N27" s="3024"/>
      <c r="O27" s="3024"/>
      <c r="P27" s="3024"/>
      <c r="Q27" s="3024"/>
      <c r="R27" s="3024"/>
      <c r="S27" s="3024"/>
      <c r="T27" s="3024"/>
      <c r="U27" s="3024"/>
      <c r="V27" s="3024"/>
      <c r="W27" s="3024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25"/>
      <c r="L28" s="3025"/>
      <c r="R28" s="3026"/>
      <c r="S28" s="3026"/>
      <c r="T28" s="3026" t="s">
        <v>631</v>
      </c>
      <c r="U28" s="3026"/>
      <c r="W28" s="541" t="s">
        <v>631</v>
      </c>
    </row>
    <row r="29" spans="1:23" x14ac:dyDescent="0.35">
      <c r="A29" s="3038" t="s">
        <v>632</v>
      </c>
      <c r="B29" s="3039"/>
      <c r="C29" s="3040"/>
      <c r="D29" s="3041" t="s">
        <v>633</v>
      </c>
      <c r="E29" s="3042"/>
      <c r="F29" s="3042"/>
      <c r="G29" s="3042"/>
      <c r="H29" s="3042"/>
      <c r="I29" s="3042"/>
      <c r="J29" s="3043"/>
      <c r="K29" s="3041" t="s">
        <v>795</v>
      </c>
      <c r="L29" s="3043"/>
      <c r="M29" s="3047" t="s">
        <v>635</v>
      </c>
      <c r="N29" s="3049" t="s">
        <v>636</v>
      </c>
      <c r="O29" s="3049" t="s">
        <v>637</v>
      </c>
      <c r="P29" s="3047" t="s">
        <v>638</v>
      </c>
      <c r="Q29" s="3068" t="s">
        <v>639</v>
      </c>
      <c r="R29" s="3028" t="s">
        <v>634</v>
      </c>
      <c r="S29" s="3029"/>
      <c r="T29" s="3028" t="s">
        <v>640</v>
      </c>
      <c r="U29" s="3029"/>
      <c r="V29" s="3043" t="s">
        <v>843</v>
      </c>
      <c r="W29" s="3043" t="s">
        <v>894</v>
      </c>
    </row>
    <row r="30" spans="1:23" ht="16" thickBot="1" x14ac:dyDescent="0.4">
      <c r="A30" s="3032" t="s">
        <v>641</v>
      </c>
      <c r="B30" s="3025"/>
      <c r="C30" s="3033"/>
      <c r="D30" s="3044"/>
      <c r="E30" s="3045"/>
      <c r="F30" s="3045"/>
      <c r="G30" s="3045"/>
      <c r="H30" s="3045"/>
      <c r="I30" s="3045"/>
      <c r="J30" s="3046"/>
      <c r="K30" s="3044"/>
      <c r="L30" s="3046"/>
      <c r="M30" s="3048"/>
      <c r="N30" s="3050"/>
      <c r="O30" s="3050"/>
      <c r="P30" s="3048"/>
      <c r="Q30" s="3069"/>
      <c r="R30" s="3030"/>
      <c r="S30" s="3031"/>
      <c r="T30" s="3030"/>
      <c r="U30" s="3031"/>
      <c r="V30" s="3046"/>
      <c r="W30" s="3046"/>
    </row>
    <row r="31" spans="1:23" ht="16" thickBot="1" x14ac:dyDescent="0.4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034">
        <v>3</v>
      </c>
      <c r="L31" s="3035"/>
      <c r="M31" s="878"/>
      <c r="N31" s="878"/>
      <c r="O31" s="878"/>
      <c r="P31" s="878"/>
      <c r="Q31" s="879"/>
      <c r="R31" s="3036">
        <v>3</v>
      </c>
      <c r="S31" s="3037"/>
      <c r="T31" s="3036">
        <v>3</v>
      </c>
      <c r="U31" s="3037"/>
      <c r="V31" s="1043">
        <v>4</v>
      </c>
      <c r="W31" s="1043">
        <v>5</v>
      </c>
    </row>
    <row r="32" spans="1:23" ht="15.65" customHeight="1" x14ac:dyDescent="0.25">
      <c r="A32" s="3051" t="s">
        <v>642</v>
      </c>
      <c r="B32" s="3052"/>
      <c r="C32" s="3053"/>
      <c r="D32" s="3057" t="s">
        <v>643</v>
      </c>
      <c r="E32" s="3058"/>
      <c r="F32" s="3058"/>
      <c r="G32" s="3058"/>
      <c r="H32" s="3058"/>
      <c r="I32" s="3058"/>
      <c r="J32" s="3059"/>
      <c r="K32" s="3063">
        <f>K34+K38+K41+K45+K51+K57+K76+K82+K94+K98</f>
        <v>70020.800000000003</v>
      </c>
      <c r="L32" s="3064"/>
      <c r="M32" s="3067">
        <v>17235.358</v>
      </c>
      <c r="N32" s="3067"/>
      <c r="O32" s="3067"/>
      <c r="P32" s="3067">
        <f>P34+P45+P51+P57+P76+P82+P98</f>
        <v>24582.394</v>
      </c>
      <c r="Q32" s="3067">
        <v>20829</v>
      </c>
      <c r="R32" s="3070">
        <f>R34+R45+R51+R57+R76+R82+R98+R41+R38+R94</f>
        <v>73596.200000000012</v>
      </c>
      <c r="S32" s="3071"/>
      <c r="T32" s="3070">
        <f>T34+T45+T51+T57+T76+T82+T98+T41+T38+T94</f>
        <v>75660.700000000012</v>
      </c>
      <c r="U32" s="3071"/>
      <c r="V32" s="3064">
        <f>V34+V38+V41+V45+V51+V57+V76+V82+V94+V98</f>
        <v>71015</v>
      </c>
      <c r="W32" s="3064">
        <f>W34+W38+W41+W45+W51+W57+W76+W82+W94+W98</f>
        <v>73852.100000000006</v>
      </c>
    </row>
    <row r="33" spans="1:23" ht="13.9" customHeight="1" thickBot="1" x14ac:dyDescent="0.3">
      <c r="A33" s="3054"/>
      <c r="B33" s="3055"/>
      <c r="C33" s="3056"/>
      <c r="D33" s="3060"/>
      <c r="E33" s="3061"/>
      <c r="F33" s="3061"/>
      <c r="G33" s="3061"/>
      <c r="H33" s="3061"/>
      <c r="I33" s="3061"/>
      <c r="J33" s="3062"/>
      <c r="K33" s="3065"/>
      <c r="L33" s="3066"/>
      <c r="M33" s="3067"/>
      <c r="N33" s="3067"/>
      <c r="O33" s="3067"/>
      <c r="P33" s="3067"/>
      <c r="Q33" s="3067"/>
      <c r="R33" s="3072"/>
      <c r="S33" s="3073"/>
      <c r="T33" s="3072"/>
      <c r="U33" s="3073"/>
      <c r="V33" s="3066"/>
      <c r="W33" s="3066"/>
    </row>
    <row r="34" spans="1:23" ht="15" x14ac:dyDescent="0.3">
      <c r="A34" s="976" t="s">
        <v>644</v>
      </c>
      <c r="B34" s="977"/>
      <c r="C34" s="978"/>
      <c r="D34" s="3057" t="s">
        <v>645</v>
      </c>
      <c r="E34" s="3058"/>
      <c r="F34" s="3058"/>
      <c r="G34" s="3058"/>
      <c r="H34" s="3058"/>
      <c r="I34" s="3058"/>
      <c r="J34" s="3059"/>
      <c r="K34" s="3063">
        <f>K36</f>
        <v>29944</v>
      </c>
      <c r="L34" s="3064"/>
      <c r="M34" s="3067">
        <v>4523.7</v>
      </c>
      <c r="N34" s="3067"/>
      <c r="O34" s="3067"/>
      <c r="P34" s="3067">
        <f>P36</f>
        <v>5592.7</v>
      </c>
      <c r="Q34" s="3074">
        <v>4938.4639999999999</v>
      </c>
      <c r="R34" s="3070">
        <f>R36</f>
        <v>25200</v>
      </c>
      <c r="S34" s="3071"/>
      <c r="T34" s="3070">
        <f>T36</f>
        <v>26208</v>
      </c>
      <c r="U34" s="3071"/>
      <c r="V34" s="3064">
        <f>V36</f>
        <v>31122.22</v>
      </c>
      <c r="W34" s="3064">
        <f>W36</f>
        <v>32361</v>
      </c>
    </row>
    <row r="35" spans="1:23" thickBot="1" x14ac:dyDescent="0.35">
      <c r="A35" s="979" t="s">
        <v>646</v>
      </c>
      <c r="B35" s="980"/>
      <c r="C35" s="981"/>
      <c r="D35" s="3060"/>
      <c r="E35" s="3061"/>
      <c r="F35" s="3061"/>
      <c r="G35" s="3061"/>
      <c r="H35" s="3061"/>
      <c r="I35" s="3061"/>
      <c r="J35" s="3062"/>
      <c r="K35" s="3065"/>
      <c r="L35" s="3066"/>
      <c r="M35" s="3067"/>
      <c r="N35" s="3067"/>
      <c r="O35" s="3067"/>
      <c r="P35" s="3067"/>
      <c r="Q35" s="3074"/>
      <c r="R35" s="3072"/>
      <c r="S35" s="3073"/>
      <c r="T35" s="3072"/>
      <c r="U35" s="3073"/>
      <c r="V35" s="3066"/>
      <c r="W35" s="3066"/>
    </row>
    <row r="36" spans="1:23" x14ac:dyDescent="0.35">
      <c r="A36" s="3038" t="s">
        <v>647</v>
      </c>
      <c r="B36" s="3039"/>
      <c r="C36" s="3040"/>
      <c r="D36" s="982"/>
      <c r="E36" s="983"/>
      <c r="F36" s="983"/>
      <c r="G36" s="983"/>
      <c r="H36" s="983"/>
      <c r="I36" s="983"/>
      <c r="J36" s="984"/>
      <c r="K36" s="3102">
        <f>29994-50</f>
        <v>29944</v>
      </c>
      <c r="L36" s="3103"/>
      <c r="M36" s="3067">
        <v>4523.7</v>
      </c>
      <c r="N36" s="3067">
        <v>534.5</v>
      </c>
      <c r="O36" s="3067">
        <v>534.5</v>
      </c>
      <c r="P36" s="3067">
        <f>M36+N36+O36</f>
        <v>5592.7</v>
      </c>
      <c r="Q36" s="3074">
        <v>4938.4639999999999</v>
      </c>
      <c r="R36" s="3085">
        <v>25200</v>
      </c>
      <c r="S36" s="3086"/>
      <c r="T36" s="3085">
        <v>26208</v>
      </c>
      <c r="U36" s="3086"/>
      <c r="V36" s="3103">
        <f>31193-70.78</f>
        <v>31122.22</v>
      </c>
      <c r="W36" s="3103">
        <f>32411-50</f>
        <v>32361</v>
      </c>
    </row>
    <row r="37" spans="1:23" ht="16" thickBot="1" x14ac:dyDescent="0.4">
      <c r="A37" s="3032"/>
      <c r="B37" s="3025"/>
      <c r="C37" s="3033"/>
      <c r="D37" s="985" t="s">
        <v>648</v>
      </c>
      <c r="E37" s="986"/>
      <c r="F37" s="986"/>
      <c r="G37" s="986"/>
      <c r="H37" s="986"/>
      <c r="I37" s="986"/>
      <c r="J37" s="987"/>
      <c r="K37" s="3104"/>
      <c r="L37" s="3105"/>
      <c r="M37" s="3067"/>
      <c r="N37" s="3067"/>
      <c r="O37" s="3067"/>
      <c r="P37" s="3067"/>
      <c r="Q37" s="3074"/>
      <c r="R37" s="3087"/>
      <c r="S37" s="3088"/>
      <c r="T37" s="3087"/>
      <c r="U37" s="3088"/>
      <c r="V37" s="3105"/>
      <c r="W37" s="3105"/>
    </row>
    <row r="38" spans="1:23" ht="15.65" customHeight="1" x14ac:dyDescent="0.25">
      <c r="A38" s="3089" t="s">
        <v>649</v>
      </c>
      <c r="B38" s="3090"/>
      <c r="C38" s="3091"/>
      <c r="D38" s="3095" t="s">
        <v>650</v>
      </c>
      <c r="E38" s="3096"/>
      <c r="F38" s="3096"/>
      <c r="G38" s="3096"/>
      <c r="H38" s="3096"/>
      <c r="I38" s="3096"/>
      <c r="J38" s="3097"/>
      <c r="K38" s="3063">
        <f>K40</f>
        <v>917.21400000000006</v>
      </c>
      <c r="L38" s="3064"/>
      <c r="M38" s="3067">
        <v>9794</v>
      </c>
      <c r="N38" s="3067"/>
      <c r="O38" s="3067"/>
      <c r="P38" s="3067" t="e">
        <f>#REF!+P41+P42</f>
        <v>#REF!</v>
      </c>
      <c r="Q38" s="3101">
        <v>12087.288329999999</v>
      </c>
      <c r="R38" s="3070">
        <f>R40</f>
        <v>0</v>
      </c>
      <c r="S38" s="3071"/>
      <c r="T38" s="3070">
        <f>T40</f>
        <v>0</v>
      </c>
      <c r="U38" s="3071"/>
      <c r="V38" s="3064">
        <f>V40</f>
        <v>948.322</v>
      </c>
      <c r="W38" s="3064">
        <f>W40</f>
        <v>948.322</v>
      </c>
    </row>
    <row r="39" spans="1:23" ht="16.149999999999999" customHeight="1" thickBot="1" x14ac:dyDescent="0.3">
      <c r="A39" s="3092"/>
      <c r="B39" s="3093"/>
      <c r="C39" s="3094"/>
      <c r="D39" s="3098"/>
      <c r="E39" s="3099"/>
      <c r="F39" s="3099"/>
      <c r="G39" s="3099"/>
      <c r="H39" s="3099"/>
      <c r="I39" s="3099"/>
      <c r="J39" s="3100"/>
      <c r="K39" s="3065"/>
      <c r="L39" s="3066"/>
      <c r="M39" s="3067"/>
      <c r="N39" s="3067"/>
      <c r="O39" s="3067"/>
      <c r="P39" s="3067"/>
      <c r="Q39" s="3101"/>
      <c r="R39" s="3072"/>
      <c r="S39" s="3073"/>
      <c r="T39" s="3072"/>
      <c r="U39" s="3073"/>
      <c r="V39" s="3066"/>
      <c r="W39" s="3066"/>
    </row>
    <row r="40" spans="1:23" ht="31.15" customHeight="1" thickBot="1" x14ac:dyDescent="0.4">
      <c r="A40" s="3075" t="s">
        <v>651</v>
      </c>
      <c r="B40" s="3076"/>
      <c r="C40" s="3077"/>
      <c r="D40" s="3078" t="s">
        <v>652</v>
      </c>
      <c r="E40" s="3079"/>
      <c r="F40" s="3079"/>
      <c r="G40" s="3079"/>
      <c r="H40" s="3079"/>
      <c r="I40" s="3079"/>
      <c r="J40" s="3080"/>
      <c r="K40" s="3081">
        <v>917.21400000000006</v>
      </c>
      <c r="L40" s="3082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083"/>
      <c r="S40" s="3084"/>
      <c r="T40" s="3083"/>
      <c r="U40" s="3084"/>
      <c r="V40" s="1044">
        <v>948.322</v>
      </c>
      <c r="W40" s="1044">
        <v>948.322</v>
      </c>
    </row>
    <row r="41" spans="1:23" ht="15.65" customHeight="1" x14ac:dyDescent="0.25">
      <c r="A41" s="3089" t="s">
        <v>653</v>
      </c>
      <c r="B41" s="3090"/>
      <c r="C41" s="3091"/>
      <c r="D41" s="3110" t="s">
        <v>654</v>
      </c>
      <c r="E41" s="3111"/>
      <c r="F41" s="3111"/>
      <c r="G41" s="3111"/>
      <c r="H41" s="3111"/>
      <c r="I41" s="3111"/>
      <c r="J41" s="3112"/>
      <c r="K41" s="3063">
        <f>K44</f>
        <v>489</v>
      </c>
      <c r="L41" s="3064"/>
      <c r="M41" s="3067">
        <v>9794</v>
      </c>
      <c r="N41" s="3067"/>
      <c r="O41" s="3067"/>
      <c r="P41" s="3067">
        <f>P44+P45+P46</f>
        <v>15318</v>
      </c>
      <c r="Q41" s="3101">
        <v>12087.288329999999</v>
      </c>
      <c r="R41" s="3070">
        <f>R44</f>
        <v>75.8</v>
      </c>
      <c r="S41" s="3071"/>
      <c r="T41" s="3070">
        <f>T44</f>
        <v>80</v>
      </c>
      <c r="U41" s="3071"/>
      <c r="V41" s="3064">
        <f>V44</f>
        <v>509</v>
      </c>
      <c r="W41" s="3064">
        <f>W44</f>
        <v>529</v>
      </c>
    </row>
    <row r="42" spans="1:23" ht="16.149999999999999" customHeight="1" thickBot="1" x14ac:dyDescent="0.3">
      <c r="A42" s="3092"/>
      <c r="B42" s="3093"/>
      <c r="C42" s="3094"/>
      <c r="D42" s="3113"/>
      <c r="E42" s="3114"/>
      <c r="F42" s="3114"/>
      <c r="G42" s="3114"/>
      <c r="H42" s="3114"/>
      <c r="I42" s="3114"/>
      <c r="J42" s="3115"/>
      <c r="K42" s="3065"/>
      <c r="L42" s="3066"/>
      <c r="M42" s="3067"/>
      <c r="N42" s="3067"/>
      <c r="O42" s="3067"/>
      <c r="P42" s="3067"/>
      <c r="Q42" s="3101"/>
      <c r="R42" s="3072"/>
      <c r="S42" s="3073"/>
      <c r="T42" s="3072"/>
      <c r="U42" s="3073"/>
      <c r="V42" s="3066"/>
      <c r="W42" s="3066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 x14ac:dyDescent="0.4">
      <c r="A44" s="3034" t="s">
        <v>655</v>
      </c>
      <c r="B44" s="3106"/>
      <c r="C44" s="3035"/>
      <c r="D44" s="3107" t="s">
        <v>656</v>
      </c>
      <c r="E44" s="3108"/>
      <c r="F44" s="3108"/>
      <c r="G44" s="3108"/>
      <c r="H44" s="3108"/>
      <c r="I44" s="3108"/>
      <c r="J44" s="3109"/>
      <c r="K44" s="3081">
        <v>489</v>
      </c>
      <c r="L44" s="3082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083">
        <v>75.8</v>
      </c>
      <c r="S44" s="3084"/>
      <c r="T44" s="3083">
        <v>80</v>
      </c>
      <c r="U44" s="3084"/>
      <c r="V44" s="1044">
        <v>509</v>
      </c>
      <c r="W44" s="1044">
        <v>529</v>
      </c>
    </row>
    <row r="45" spans="1:23" ht="15.65" customHeight="1" x14ac:dyDescent="0.25">
      <c r="A45" s="3089" t="s">
        <v>657</v>
      </c>
      <c r="B45" s="3090"/>
      <c r="C45" s="3091"/>
      <c r="D45" s="3110" t="s">
        <v>658</v>
      </c>
      <c r="E45" s="3111"/>
      <c r="F45" s="3111"/>
      <c r="G45" s="3111"/>
      <c r="H45" s="3111"/>
      <c r="I45" s="3111"/>
      <c r="J45" s="3112"/>
      <c r="K45" s="3063">
        <f>K48+K50+K49</f>
        <v>36055.786</v>
      </c>
      <c r="L45" s="3064"/>
      <c r="M45" s="3067">
        <v>9794</v>
      </c>
      <c r="N45" s="3067"/>
      <c r="O45" s="3067"/>
      <c r="P45" s="3067">
        <f>P48+P49+P50</f>
        <v>15194</v>
      </c>
      <c r="Q45" s="3101">
        <v>12087.288329999999</v>
      </c>
      <c r="R45" s="3070">
        <f>R48+R50+R49</f>
        <v>44797.8</v>
      </c>
      <c r="S45" s="3071"/>
      <c r="T45" s="3070">
        <f>T48+T50+T49</f>
        <v>46588.6</v>
      </c>
      <c r="U45" s="3071"/>
      <c r="V45" s="3064">
        <f>V48+V50</f>
        <v>36512.678</v>
      </c>
      <c r="W45" s="3064">
        <f>W48+W50</f>
        <v>38023.896999999997</v>
      </c>
    </row>
    <row r="46" spans="1:23" ht="16.149999999999999" customHeight="1" thickBot="1" x14ac:dyDescent="0.3">
      <c r="A46" s="3092"/>
      <c r="B46" s="3093"/>
      <c r="C46" s="3094"/>
      <c r="D46" s="3113"/>
      <c r="E46" s="3114"/>
      <c r="F46" s="3114"/>
      <c r="G46" s="3114"/>
      <c r="H46" s="3114"/>
      <c r="I46" s="3114"/>
      <c r="J46" s="3115"/>
      <c r="K46" s="3065"/>
      <c r="L46" s="3066"/>
      <c r="M46" s="3067"/>
      <c r="N46" s="3067"/>
      <c r="O46" s="3067"/>
      <c r="P46" s="3067"/>
      <c r="Q46" s="3101"/>
      <c r="R46" s="3072"/>
      <c r="S46" s="3073"/>
      <c r="T46" s="3072"/>
      <c r="U46" s="3073"/>
      <c r="V46" s="3066"/>
      <c r="W46" s="3066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 x14ac:dyDescent="0.4">
      <c r="A48" s="3034" t="s">
        <v>659</v>
      </c>
      <c r="B48" s="3106"/>
      <c r="C48" s="3035"/>
      <c r="D48" s="972" t="s">
        <v>660</v>
      </c>
      <c r="E48" s="975"/>
      <c r="F48" s="975"/>
      <c r="G48" s="975"/>
      <c r="H48" s="975"/>
      <c r="I48" s="975"/>
      <c r="J48" s="974"/>
      <c r="K48" s="3081">
        <v>6290</v>
      </c>
      <c r="L48" s="3082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083">
        <v>3816</v>
      </c>
      <c r="S48" s="3084"/>
      <c r="T48" s="3083">
        <v>3968.6</v>
      </c>
      <c r="U48" s="3084"/>
      <c r="V48" s="1044">
        <f>6542-976</f>
        <v>5566</v>
      </c>
      <c r="W48" s="1044">
        <f>6803-976.781</f>
        <v>5826.2190000000001</v>
      </c>
    </row>
    <row r="49" spans="1:23" ht="15.65" hidden="1" customHeight="1" thickBot="1" x14ac:dyDescent="0.4">
      <c r="A49" s="3034" t="s">
        <v>661</v>
      </c>
      <c r="B49" s="3106"/>
      <c r="C49" s="3035"/>
      <c r="D49" s="996" t="s">
        <v>662</v>
      </c>
      <c r="E49" s="997"/>
      <c r="F49" s="997"/>
      <c r="G49" s="997"/>
      <c r="H49" s="997"/>
      <c r="I49" s="997"/>
      <c r="J49" s="998"/>
      <c r="K49" s="3081"/>
      <c r="L49" s="3082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083">
        <v>9783.7999999999993</v>
      </c>
      <c r="S49" s="3084"/>
      <c r="T49" s="3083">
        <v>10175</v>
      </c>
      <c r="U49" s="3084"/>
      <c r="V49" s="1044"/>
      <c r="W49" s="1044"/>
    </row>
    <row r="50" spans="1:23" ht="16" thickBot="1" x14ac:dyDescent="0.4">
      <c r="A50" s="3034" t="s">
        <v>663</v>
      </c>
      <c r="B50" s="3106"/>
      <c r="C50" s="3035"/>
      <c r="D50" s="972" t="s">
        <v>664</v>
      </c>
      <c r="E50" s="975"/>
      <c r="F50" s="975"/>
      <c r="G50" s="975"/>
      <c r="H50" s="975"/>
      <c r="I50" s="975"/>
      <c r="J50" s="974"/>
      <c r="K50" s="3116">
        <f>29811-45.214</f>
        <v>29765.786</v>
      </c>
      <c r="L50" s="3117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118">
        <v>31198</v>
      </c>
      <c r="S50" s="3119"/>
      <c r="T50" s="3118">
        <v>32445</v>
      </c>
      <c r="U50" s="3119"/>
      <c r="V50" s="1750">
        <f>31003-56.322</f>
        <v>30946.678</v>
      </c>
      <c r="W50" s="1750">
        <f>32244-46.322</f>
        <v>32197.678</v>
      </c>
    </row>
    <row r="51" spans="1:23" ht="15.65" customHeight="1" x14ac:dyDescent="0.25">
      <c r="A51" s="3089" t="s">
        <v>665</v>
      </c>
      <c r="B51" s="3090"/>
      <c r="C51" s="3091"/>
      <c r="D51" s="3110" t="s">
        <v>666</v>
      </c>
      <c r="E51" s="3111"/>
      <c r="F51" s="3111"/>
      <c r="G51" s="3111"/>
      <c r="H51" s="3111"/>
      <c r="I51" s="3111"/>
      <c r="J51" s="3112"/>
      <c r="K51" s="3063">
        <f>K53</f>
        <v>5</v>
      </c>
      <c r="L51" s="3064"/>
      <c r="M51" s="3067">
        <v>17</v>
      </c>
      <c r="N51" s="3067"/>
      <c r="O51" s="3067"/>
      <c r="P51" s="3067">
        <f>M51+N51+O51</f>
        <v>17</v>
      </c>
      <c r="Q51" s="3067">
        <v>3.9649999999999999</v>
      </c>
      <c r="R51" s="3070">
        <f>R53</f>
        <v>8</v>
      </c>
      <c r="S51" s="3071"/>
      <c r="T51" s="3070">
        <f>T53</f>
        <v>10</v>
      </c>
      <c r="U51" s="3071"/>
      <c r="V51" s="3064">
        <f>V53</f>
        <v>7</v>
      </c>
      <c r="W51" s="3064">
        <f>W53</f>
        <v>10</v>
      </c>
    </row>
    <row r="52" spans="1:23" ht="13.9" customHeight="1" thickBot="1" x14ac:dyDescent="0.3">
      <c r="A52" s="3092"/>
      <c r="B52" s="3093"/>
      <c r="C52" s="3094"/>
      <c r="D52" s="3113"/>
      <c r="E52" s="3114"/>
      <c r="F52" s="3114"/>
      <c r="G52" s="3114"/>
      <c r="H52" s="3114"/>
      <c r="I52" s="3114"/>
      <c r="J52" s="3115"/>
      <c r="K52" s="3065"/>
      <c r="L52" s="3066"/>
      <c r="M52" s="3067"/>
      <c r="N52" s="3067"/>
      <c r="O52" s="3067"/>
      <c r="P52" s="3067"/>
      <c r="Q52" s="3067"/>
      <c r="R52" s="3072"/>
      <c r="S52" s="3073"/>
      <c r="T52" s="3072"/>
      <c r="U52" s="3073"/>
      <c r="V52" s="3066"/>
      <c r="W52" s="3066"/>
    </row>
    <row r="53" spans="1:23" x14ac:dyDescent="0.35">
      <c r="A53" s="3041" t="s">
        <v>667</v>
      </c>
      <c r="B53" s="3042"/>
      <c r="C53" s="3043"/>
      <c r="D53" s="982" t="s">
        <v>668</v>
      </c>
      <c r="E53" s="983"/>
      <c r="F53" s="983"/>
      <c r="G53" s="983"/>
      <c r="H53" s="983"/>
      <c r="I53" s="983"/>
      <c r="J53" s="983"/>
      <c r="K53" s="3102">
        <v>5</v>
      </c>
      <c r="L53" s="3103"/>
      <c r="M53" s="3067">
        <v>17</v>
      </c>
      <c r="N53" s="3067"/>
      <c r="O53" s="3067"/>
      <c r="P53" s="3067">
        <f>M53+N53+O53</f>
        <v>17</v>
      </c>
      <c r="Q53" s="3067">
        <v>3.9649999999999999</v>
      </c>
      <c r="R53" s="3085">
        <v>8</v>
      </c>
      <c r="S53" s="3086"/>
      <c r="T53" s="3085">
        <v>10</v>
      </c>
      <c r="U53" s="3086"/>
      <c r="V53" s="3103">
        <v>7</v>
      </c>
      <c r="W53" s="3103">
        <v>10</v>
      </c>
    </row>
    <row r="54" spans="1:23" x14ac:dyDescent="0.35">
      <c r="A54" s="3120"/>
      <c r="B54" s="3121"/>
      <c r="C54" s="3122"/>
      <c r="D54" s="996" t="s">
        <v>669</v>
      </c>
      <c r="E54" s="997"/>
      <c r="F54" s="997"/>
      <c r="G54" s="997"/>
      <c r="H54" s="997"/>
      <c r="I54" s="997"/>
      <c r="J54" s="997"/>
      <c r="K54" s="3123"/>
      <c r="L54" s="3124"/>
      <c r="M54" s="3067"/>
      <c r="N54" s="3067"/>
      <c r="O54" s="3067"/>
      <c r="P54" s="3067"/>
      <c r="Q54" s="3067"/>
      <c r="R54" s="3125"/>
      <c r="S54" s="3126"/>
      <c r="T54" s="3125"/>
      <c r="U54" s="3126"/>
      <c r="V54" s="3124"/>
      <c r="W54" s="3124"/>
    </row>
    <row r="55" spans="1:23" x14ac:dyDescent="0.35">
      <c r="A55" s="3120"/>
      <c r="B55" s="3121"/>
      <c r="C55" s="3122"/>
      <c r="D55" s="996" t="s">
        <v>670</v>
      </c>
      <c r="E55" s="997"/>
      <c r="F55" s="997"/>
      <c r="G55" s="997"/>
      <c r="H55" s="997"/>
      <c r="I55" s="997"/>
      <c r="J55" s="997"/>
      <c r="K55" s="3123"/>
      <c r="L55" s="3124"/>
      <c r="M55" s="3067"/>
      <c r="N55" s="3067"/>
      <c r="O55" s="3067"/>
      <c r="P55" s="3067"/>
      <c r="Q55" s="3067"/>
      <c r="R55" s="3125"/>
      <c r="S55" s="3126"/>
      <c r="T55" s="3125"/>
      <c r="U55" s="3126"/>
      <c r="V55" s="3124"/>
      <c r="W55" s="3124"/>
    </row>
    <row r="56" spans="1:23" ht="16" thickBot="1" x14ac:dyDescent="0.4">
      <c r="A56" s="3044"/>
      <c r="B56" s="3045"/>
      <c r="C56" s="3046"/>
      <c r="D56" s="985" t="s">
        <v>671</v>
      </c>
      <c r="E56" s="986"/>
      <c r="F56" s="986"/>
      <c r="G56" s="986"/>
      <c r="H56" s="986"/>
      <c r="I56" s="986"/>
      <c r="J56" s="986"/>
      <c r="K56" s="3104"/>
      <c r="L56" s="3105"/>
      <c r="M56" s="3067"/>
      <c r="N56" s="3067"/>
      <c r="O56" s="3067"/>
      <c r="P56" s="3067"/>
      <c r="Q56" s="3067"/>
      <c r="R56" s="3087"/>
      <c r="S56" s="3088"/>
      <c r="T56" s="3087"/>
      <c r="U56" s="3088"/>
      <c r="V56" s="3105"/>
      <c r="W56" s="3105"/>
    </row>
    <row r="57" spans="1:23" ht="15" x14ac:dyDescent="0.3">
      <c r="A57" s="3089" t="s">
        <v>672</v>
      </c>
      <c r="B57" s="3090"/>
      <c r="C57" s="3091"/>
      <c r="D57" s="976" t="s">
        <v>673</v>
      </c>
      <c r="E57" s="977"/>
      <c r="F57" s="977"/>
      <c r="G57" s="977"/>
      <c r="H57" s="977"/>
      <c r="I57" s="977"/>
      <c r="J57" s="978"/>
      <c r="K57" s="3130">
        <f>K60+K64+K72+K68</f>
        <v>1785.3</v>
      </c>
      <c r="L57" s="3131"/>
      <c r="M57" s="3067">
        <v>2183.6579999999999</v>
      </c>
      <c r="N57" s="3067"/>
      <c r="O57" s="3067"/>
      <c r="P57" s="3067">
        <f>P60+P64+P72</f>
        <v>2913.6940000000004</v>
      </c>
      <c r="Q57" s="3136">
        <v>2859.2967100000001</v>
      </c>
      <c r="R57" s="3137">
        <f>R60+R64+R72+R68</f>
        <v>1933</v>
      </c>
      <c r="S57" s="3138"/>
      <c r="T57" s="3137">
        <f>T60+T64+T72+T68</f>
        <v>1975</v>
      </c>
      <c r="U57" s="3138"/>
      <c r="V57" s="3131">
        <f>V68+V72</f>
        <v>1842.78</v>
      </c>
      <c r="W57" s="3131">
        <f>W68+W72</f>
        <v>1903.681</v>
      </c>
    </row>
    <row r="58" spans="1:23" ht="15" x14ac:dyDescent="0.3">
      <c r="A58" s="3127"/>
      <c r="B58" s="3128"/>
      <c r="C58" s="3129"/>
      <c r="D58" s="999" t="s">
        <v>674</v>
      </c>
      <c r="E58" s="1000"/>
      <c r="F58" s="1000"/>
      <c r="G58" s="1000"/>
      <c r="H58" s="1000"/>
      <c r="I58" s="1000"/>
      <c r="J58" s="1001"/>
      <c r="K58" s="3132"/>
      <c r="L58" s="3133"/>
      <c r="M58" s="3067"/>
      <c r="N58" s="3067"/>
      <c r="O58" s="3067"/>
      <c r="P58" s="3067"/>
      <c r="Q58" s="3136"/>
      <c r="R58" s="3139"/>
      <c r="S58" s="3140"/>
      <c r="T58" s="3139"/>
      <c r="U58" s="3140"/>
      <c r="V58" s="3133"/>
      <c r="W58" s="3133"/>
    </row>
    <row r="59" spans="1:23" thickBot="1" x14ac:dyDescent="0.35">
      <c r="A59" s="3092"/>
      <c r="B59" s="3093"/>
      <c r="C59" s="3094"/>
      <c r="D59" s="979" t="s">
        <v>675</v>
      </c>
      <c r="E59" s="980"/>
      <c r="F59" s="980"/>
      <c r="G59" s="980"/>
      <c r="H59" s="980"/>
      <c r="I59" s="980"/>
      <c r="J59" s="981"/>
      <c r="K59" s="3134"/>
      <c r="L59" s="3135"/>
      <c r="M59" s="3067"/>
      <c r="N59" s="3067"/>
      <c r="O59" s="3067"/>
      <c r="P59" s="3067"/>
      <c r="Q59" s="3136"/>
      <c r="R59" s="3141"/>
      <c r="S59" s="3142"/>
      <c r="T59" s="3141"/>
      <c r="U59" s="3142"/>
      <c r="V59" s="3135"/>
      <c r="W59" s="3135"/>
    </row>
    <row r="60" spans="1:23" ht="15.65" hidden="1" customHeight="1" thickBot="1" x14ac:dyDescent="0.4">
      <c r="A60" s="3041" t="s">
        <v>676</v>
      </c>
      <c r="B60" s="3042"/>
      <c r="C60" s="3043"/>
      <c r="D60" s="982" t="s">
        <v>677</v>
      </c>
      <c r="E60" s="983"/>
      <c r="F60" s="983"/>
      <c r="G60" s="983"/>
      <c r="H60" s="983"/>
      <c r="I60" s="983"/>
      <c r="J60" s="984"/>
      <c r="K60" s="3143"/>
      <c r="L60" s="3144"/>
      <c r="M60" s="3067">
        <v>1030</v>
      </c>
      <c r="N60" s="3067">
        <v>140</v>
      </c>
      <c r="O60" s="3067">
        <v>140</v>
      </c>
      <c r="P60" s="3067">
        <f>M60+N60+O60</f>
        <v>1310</v>
      </c>
      <c r="Q60" s="3136">
        <v>1430.7293099999999</v>
      </c>
      <c r="R60" s="3149"/>
      <c r="S60" s="3150"/>
      <c r="T60" s="3149"/>
      <c r="U60" s="3150"/>
      <c r="V60" s="3144"/>
      <c r="W60" s="3144"/>
    </row>
    <row r="61" spans="1:23" ht="15.65" hidden="1" customHeight="1" thickBot="1" x14ac:dyDescent="0.4">
      <c r="A61" s="3120"/>
      <c r="B61" s="3121"/>
      <c r="C61" s="3122"/>
      <c r="D61" s="996" t="s">
        <v>678</v>
      </c>
      <c r="E61" s="997"/>
      <c r="F61" s="997"/>
      <c r="G61" s="997"/>
      <c r="H61" s="997"/>
      <c r="I61" s="997"/>
      <c r="J61" s="998"/>
      <c r="K61" s="3145"/>
      <c r="L61" s="3146"/>
      <c r="M61" s="3067"/>
      <c r="N61" s="3067"/>
      <c r="O61" s="3067"/>
      <c r="P61" s="3067"/>
      <c r="Q61" s="3136"/>
      <c r="R61" s="3151"/>
      <c r="S61" s="3152"/>
      <c r="T61" s="3151"/>
      <c r="U61" s="3152"/>
      <c r="V61" s="3146"/>
      <c r="W61" s="3146"/>
    </row>
    <row r="62" spans="1:23" ht="15.65" hidden="1" customHeight="1" thickBot="1" x14ac:dyDescent="0.4">
      <c r="A62" s="3120"/>
      <c r="B62" s="3121"/>
      <c r="C62" s="3122"/>
      <c r="D62" s="996" t="s">
        <v>679</v>
      </c>
      <c r="E62" s="997"/>
      <c r="F62" s="997"/>
      <c r="G62" s="997"/>
      <c r="H62" s="997"/>
      <c r="I62" s="997"/>
      <c r="J62" s="998"/>
      <c r="K62" s="3145"/>
      <c r="L62" s="3146"/>
      <c r="M62" s="3067"/>
      <c r="N62" s="3067"/>
      <c r="O62" s="3067"/>
      <c r="P62" s="3067"/>
      <c r="Q62" s="3136"/>
      <c r="R62" s="3151"/>
      <c r="S62" s="3152"/>
      <c r="T62" s="3151"/>
      <c r="U62" s="3152"/>
      <c r="V62" s="3146"/>
      <c r="W62" s="3146"/>
    </row>
    <row r="63" spans="1:23" ht="15.65" hidden="1" customHeight="1" thickBot="1" x14ac:dyDescent="0.4">
      <c r="A63" s="3044"/>
      <c r="B63" s="3045"/>
      <c r="C63" s="3046"/>
      <c r="D63" s="985" t="s">
        <v>680</v>
      </c>
      <c r="E63" s="986"/>
      <c r="F63" s="986"/>
      <c r="G63" s="986"/>
      <c r="H63" s="986"/>
      <c r="I63" s="986"/>
      <c r="J63" s="987"/>
      <c r="K63" s="3147"/>
      <c r="L63" s="3148"/>
      <c r="M63" s="3067"/>
      <c r="N63" s="3067"/>
      <c r="O63" s="3067"/>
      <c r="P63" s="3067"/>
      <c r="Q63" s="3136"/>
      <c r="R63" s="3153"/>
      <c r="S63" s="3154"/>
      <c r="T63" s="3153"/>
      <c r="U63" s="3154"/>
      <c r="V63" s="3148"/>
      <c r="W63" s="3148"/>
    </row>
    <row r="64" spans="1:23" ht="15.65" hidden="1" customHeight="1" thickBot="1" x14ac:dyDescent="0.4">
      <c r="A64" s="3041" t="s">
        <v>681</v>
      </c>
      <c r="B64" s="3042"/>
      <c r="C64" s="3043"/>
      <c r="D64" s="982" t="s">
        <v>682</v>
      </c>
      <c r="E64" s="983"/>
      <c r="F64" s="983"/>
      <c r="G64" s="983"/>
      <c r="H64" s="983"/>
      <c r="I64" s="983"/>
      <c r="J64" s="984"/>
      <c r="K64" s="3143"/>
      <c r="L64" s="3144"/>
      <c r="M64" s="3067">
        <v>928.55</v>
      </c>
      <c r="N64" s="3067">
        <v>200</v>
      </c>
      <c r="O64" s="3067">
        <v>200</v>
      </c>
      <c r="P64" s="3067">
        <f>M64+N64+O64</f>
        <v>1328.55</v>
      </c>
      <c r="Q64" s="3136">
        <v>1007.7294000000001</v>
      </c>
      <c r="R64" s="3149"/>
      <c r="S64" s="3150"/>
      <c r="T64" s="3149"/>
      <c r="U64" s="3150"/>
      <c r="V64" s="3144"/>
      <c r="W64" s="3144"/>
    </row>
    <row r="65" spans="1:23" ht="14.25" hidden="1" customHeight="1" x14ac:dyDescent="0.35">
      <c r="A65" s="3120"/>
      <c r="B65" s="3121"/>
      <c r="C65" s="3122"/>
      <c r="D65" s="996" t="s">
        <v>683</v>
      </c>
      <c r="E65" s="997"/>
      <c r="F65" s="997"/>
      <c r="G65" s="997"/>
      <c r="H65" s="997"/>
      <c r="I65" s="997"/>
      <c r="J65" s="998"/>
      <c r="K65" s="3145"/>
      <c r="L65" s="3146"/>
      <c r="M65" s="3067"/>
      <c r="N65" s="3067"/>
      <c r="O65" s="3067"/>
      <c r="P65" s="3067"/>
      <c r="Q65" s="3136"/>
      <c r="R65" s="3151"/>
      <c r="S65" s="3152"/>
      <c r="T65" s="3151"/>
      <c r="U65" s="3152"/>
      <c r="V65" s="3146"/>
      <c r="W65" s="3146"/>
    </row>
    <row r="66" spans="1:23" ht="15.75" hidden="1" customHeight="1" x14ac:dyDescent="0.35">
      <c r="A66" s="3120"/>
      <c r="B66" s="3121"/>
      <c r="C66" s="3122"/>
      <c r="D66" s="996" t="s">
        <v>684</v>
      </c>
      <c r="E66" s="997"/>
      <c r="F66" s="997"/>
      <c r="G66" s="997"/>
      <c r="H66" s="997"/>
      <c r="I66" s="997"/>
      <c r="J66" s="998"/>
      <c r="K66" s="3145"/>
      <c r="L66" s="3146"/>
      <c r="M66" s="3067"/>
      <c r="N66" s="3067"/>
      <c r="O66" s="3067"/>
      <c r="P66" s="3067"/>
      <c r="Q66" s="3136"/>
      <c r="R66" s="3151"/>
      <c r="S66" s="3152"/>
      <c r="T66" s="3151"/>
      <c r="U66" s="3152"/>
      <c r="V66" s="3146"/>
      <c r="W66" s="3146"/>
    </row>
    <row r="67" spans="1:23" ht="15.75" hidden="1" customHeight="1" thickBot="1" x14ac:dyDescent="0.4">
      <c r="A67" s="3044"/>
      <c r="B67" s="3045"/>
      <c r="C67" s="3046"/>
      <c r="D67" s="985" t="s">
        <v>685</v>
      </c>
      <c r="E67" s="986"/>
      <c r="F67" s="986"/>
      <c r="G67" s="986"/>
      <c r="H67" s="986"/>
      <c r="I67" s="986"/>
      <c r="J67" s="987"/>
      <c r="K67" s="3147"/>
      <c r="L67" s="3148"/>
      <c r="M67" s="3067"/>
      <c r="N67" s="3067"/>
      <c r="O67" s="3067"/>
      <c r="P67" s="3067"/>
      <c r="Q67" s="3136"/>
      <c r="R67" s="3153"/>
      <c r="S67" s="3154"/>
      <c r="T67" s="3153"/>
      <c r="U67" s="3154"/>
      <c r="V67" s="3148"/>
      <c r="W67" s="3148"/>
    </row>
    <row r="68" spans="1:23" x14ac:dyDescent="0.35">
      <c r="A68" s="3041" t="s">
        <v>686</v>
      </c>
      <c r="B68" s="3042"/>
      <c r="C68" s="3043"/>
      <c r="D68" s="1002"/>
      <c r="E68" s="997"/>
      <c r="F68" s="997"/>
      <c r="G68" s="997"/>
      <c r="H68" s="997"/>
      <c r="I68" s="997"/>
      <c r="J68" s="998"/>
      <c r="K68" s="3143">
        <v>850.3</v>
      </c>
      <c r="L68" s="3144"/>
      <c r="M68" s="3067">
        <v>928.55</v>
      </c>
      <c r="N68" s="3067">
        <v>200</v>
      </c>
      <c r="O68" s="3067">
        <v>200</v>
      </c>
      <c r="P68" s="3067">
        <f>M68+N68+O68</f>
        <v>1328.55</v>
      </c>
      <c r="Q68" s="3136">
        <v>1007.7294000000001</v>
      </c>
      <c r="R68" s="3149">
        <v>1035</v>
      </c>
      <c r="S68" s="3150"/>
      <c r="T68" s="3149">
        <v>1040</v>
      </c>
      <c r="U68" s="3150"/>
      <c r="V68" s="3144">
        <v>851.68</v>
      </c>
      <c r="W68" s="3144">
        <v>853.08100000000002</v>
      </c>
    </row>
    <row r="69" spans="1:23" ht="14.25" customHeight="1" x14ac:dyDescent="0.35">
      <c r="A69" s="3120"/>
      <c r="B69" s="3121"/>
      <c r="C69" s="3122"/>
      <c r="D69" s="997" t="s">
        <v>687</v>
      </c>
      <c r="E69" s="997"/>
      <c r="F69" s="997"/>
      <c r="G69" s="997"/>
      <c r="H69" s="997"/>
      <c r="I69" s="997"/>
      <c r="J69" s="998"/>
      <c r="K69" s="3145"/>
      <c r="L69" s="3146"/>
      <c r="M69" s="3067"/>
      <c r="N69" s="3067"/>
      <c r="O69" s="3067"/>
      <c r="P69" s="3067"/>
      <c r="Q69" s="3136"/>
      <c r="R69" s="3151"/>
      <c r="S69" s="3152"/>
      <c r="T69" s="3151"/>
      <c r="U69" s="3152"/>
      <c r="V69" s="3146"/>
      <c r="W69" s="3146"/>
    </row>
    <row r="70" spans="1:23" ht="15.75" customHeight="1" x14ac:dyDescent="0.35">
      <c r="A70" s="3120"/>
      <c r="B70" s="3121"/>
      <c r="C70" s="3122"/>
      <c r="D70" s="997" t="s">
        <v>688</v>
      </c>
      <c r="E70" s="997"/>
      <c r="F70" s="997"/>
      <c r="G70" s="997"/>
      <c r="H70" s="997"/>
      <c r="I70" s="997"/>
      <c r="J70" s="998"/>
      <c r="K70" s="3145"/>
      <c r="L70" s="3146"/>
      <c r="M70" s="3067"/>
      <c r="N70" s="3067"/>
      <c r="O70" s="3067"/>
      <c r="P70" s="3067"/>
      <c r="Q70" s="3136"/>
      <c r="R70" s="3151"/>
      <c r="S70" s="3152"/>
      <c r="T70" s="3151"/>
      <c r="U70" s="3152"/>
      <c r="V70" s="3146"/>
      <c r="W70" s="3146"/>
    </row>
    <row r="71" spans="1:23" ht="15.75" customHeight="1" thickBot="1" x14ac:dyDescent="0.4">
      <c r="A71" s="3044"/>
      <c r="B71" s="3045"/>
      <c r="C71" s="3046"/>
      <c r="D71" s="986"/>
      <c r="E71" s="986"/>
      <c r="F71" s="986"/>
      <c r="G71" s="986"/>
      <c r="H71" s="986"/>
      <c r="I71" s="986"/>
      <c r="J71" s="987"/>
      <c r="K71" s="3147"/>
      <c r="L71" s="3148"/>
      <c r="M71" s="3067"/>
      <c r="N71" s="3067"/>
      <c r="O71" s="3067"/>
      <c r="P71" s="3067"/>
      <c r="Q71" s="3136"/>
      <c r="R71" s="3153"/>
      <c r="S71" s="3154"/>
      <c r="T71" s="3153"/>
      <c r="U71" s="3154"/>
      <c r="V71" s="3148"/>
      <c r="W71" s="3148"/>
    </row>
    <row r="72" spans="1:23" ht="15" customHeight="1" x14ac:dyDescent="0.35">
      <c r="A72" s="3041" t="s">
        <v>689</v>
      </c>
      <c r="B72" s="3042"/>
      <c r="C72" s="3043"/>
      <c r="D72" s="982" t="s">
        <v>690</v>
      </c>
      <c r="E72" s="983"/>
      <c r="F72" s="983"/>
      <c r="G72" s="983"/>
      <c r="H72" s="983"/>
      <c r="I72" s="983"/>
      <c r="J72" s="984"/>
      <c r="K72" s="3143">
        <v>935</v>
      </c>
      <c r="L72" s="3144"/>
      <c r="M72" s="3155">
        <v>225.108</v>
      </c>
      <c r="N72" s="3158">
        <f>24.9+0.118</f>
        <v>25.017999999999997</v>
      </c>
      <c r="O72" s="3158">
        <v>25.018000000000001</v>
      </c>
      <c r="P72" s="3161">
        <f>M72+N72+O72</f>
        <v>275.14400000000001</v>
      </c>
      <c r="Q72" s="3158">
        <v>420.83800000000002</v>
      </c>
      <c r="R72" s="3271">
        <v>898</v>
      </c>
      <c r="S72" s="3272"/>
      <c r="T72" s="3271">
        <v>935</v>
      </c>
      <c r="U72" s="3272"/>
      <c r="V72" s="3144">
        <v>991.1</v>
      </c>
      <c r="W72" s="3144">
        <v>1050.5999999999999</v>
      </c>
    </row>
    <row r="73" spans="1:23" ht="13.15" customHeight="1" x14ac:dyDescent="0.35">
      <c r="A73" s="3120"/>
      <c r="B73" s="3121"/>
      <c r="C73" s="3122"/>
      <c r="D73" s="996" t="s">
        <v>691</v>
      </c>
      <c r="E73" s="997"/>
      <c r="F73" s="997"/>
      <c r="G73" s="997"/>
      <c r="H73" s="997"/>
      <c r="I73" s="997"/>
      <c r="J73" s="998"/>
      <c r="K73" s="3145"/>
      <c r="L73" s="3146"/>
      <c r="M73" s="3156"/>
      <c r="N73" s="3159"/>
      <c r="O73" s="3159"/>
      <c r="P73" s="3162"/>
      <c r="Q73" s="3159"/>
      <c r="R73" s="3273"/>
      <c r="S73" s="3274"/>
      <c r="T73" s="3273"/>
      <c r="U73" s="3274"/>
      <c r="V73" s="3146"/>
      <c r="W73" s="3146"/>
    </row>
    <row r="74" spans="1:23" ht="13.15" customHeight="1" x14ac:dyDescent="0.35">
      <c r="A74" s="3120"/>
      <c r="B74" s="3121"/>
      <c r="C74" s="3122"/>
      <c r="D74" s="996" t="s">
        <v>692</v>
      </c>
      <c r="E74" s="997"/>
      <c r="F74" s="997"/>
      <c r="G74" s="997"/>
      <c r="H74" s="997"/>
      <c r="I74" s="997"/>
      <c r="J74" s="998"/>
      <c r="K74" s="3145"/>
      <c r="L74" s="3146"/>
      <c r="M74" s="3156"/>
      <c r="N74" s="3159"/>
      <c r="O74" s="3159"/>
      <c r="P74" s="3162"/>
      <c r="Q74" s="3159"/>
      <c r="R74" s="3273"/>
      <c r="S74" s="3274"/>
      <c r="T74" s="3273"/>
      <c r="U74" s="3274"/>
      <c r="V74" s="3146"/>
      <c r="W74" s="3146"/>
    </row>
    <row r="75" spans="1:23" ht="12.75" customHeight="1" thickBot="1" x14ac:dyDescent="0.4">
      <c r="A75" s="3044"/>
      <c r="B75" s="3045"/>
      <c r="C75" s="3046"/>
      <c r="D75" s="985" t="s">
        <v>693</v>
      </c>
      <c r="E75" s="986"/>
      <c r="F75" s="986"/>
      <c r="G75" s="986"/>
      <c r="H75" s="986"/>
      <c r="I75" s="986"/>
      <c r="J75" s="987"/>
      <c r="K75" s="3147"/>
      <c r="L75" s="3148"/>
      <c r="M75" s="3157"/>
      <c r="N75" s="3160"/>
      <c r="O75" s="3160"/>
      <c r="P75" s="3163"/>
      <c r="Q75" s="3160"/>
      <c r="R75" s="3275"/>
      <c r="S75" s="3276"/>
      <c r="T75" s="3275"/>
      <c r="U75" s="3276"/>
      <c r="V75" s="3148"/>
      <c r="W75" s="3148"/>
    </row>
    <row r="76" spans="1:23" ht="15" x14ac:dyDescent="0.3">
      <c r="A76" s="3089" t="s">
        <v>694</v>
      </c>
      <c r="B76" s="3090"/>
      <c r="C76" s="3091"/>
      <c r="D76" s="976" t="s">
        <v>887</v>
      </c>
      <c r="E76" s="977"/>
      <c r="F76" s="977"/>
      <c r="G76" s="977"/>
      <c r="H76" s="977"/>
      <c r="I76" s="977"/>
      <c r="J76" s="978"/>
      <c r="K76" s="3130">
        <f>K78+K81</f>
        <v>25</v>
      </c>
      <c r="L76" s="3131"/>
      <c r="M76" s="3067">
        <v>97</v>
      </c>
      <c r="N76" s="3067"/>
      <c r="O76" s="3067"/>
      <c r="P76" s="3067">
        <f>P78+P81</f>
        <v>125</v>
      </c>
      <c r="Q76" s="3136">
        <v>435.29176000000001</v>
      </c>
      <c r="R76" s="3164">
        <f>R78+R81</f>
        <v>10.6</v>
      </c>
      <c r="S76" s="3165"/>
      <c r="T76" s="3164">
        <f>T78+T81</f>
        <v>11.1</v>
      </c>
      <c r="U76" s="3165"/>
      <c r="V76" s="3131">
        <f>V81</f>
        <v>26.5</v>
      </c>
      <c r="W76" s="3131">
        <f>W81</f>
        <v>28.1</v>
      </c>
    </row>
    <row r="77" spans="1:23" thickBot="1" x14ac:dyDescent="0.35">
      <c r="A77" s="3092"/>
      <c r="B77" s="3093"/>
      <c r="C77" s="3094"/>
      <c r="D77" s="979" t="s">
        <v>695</v>
      </c>
      <c r="E77" s="980"/>
      <c r="F77" s="980"/>
      <c r="G77" s="980"/>
      <c r="H77" s="980"/>
      <c r="I77" s="980"/>
      <c r="J77" s="981"/>
      <c r="K77" s="3134"/>
      <c r="L77" s="3135"/>
      <c r="M77" s="3067"/>
      <c r="N77" s="3067"/>
      <c r="O77" s="3067"/>
      <c r="P77" s="3067"/>
      <c r="Q77" s="3136"/>
      <c r="R77" s="3166"/>
      <c r="S77" s="3167"/>
      <c r="T77" s="3166"/>
      <c r="U77" s="3167"/>
      <c r="V77" s="3135"/>
      <c r="W77" s="3135"/>
    </row>
    <row r="78" spans="1:23" ht="15" hidden="1" customHeight="1" x14ac:dyDescent="0.35">
      <c r="A78" s="3041" t="s">
        <v>696</v>
      </c>
      <c r="B78" s="3042"/>
      <c r="C78" s="3043"/>
      <c r="D78" s="982" t="s">
        <v>697</v>
      </c>
      <c r="E78" s="983"/>
      <c r="F78" s="983"/>
      <c r="G78" s="983"/>
      <c r="H78" s="983"/>
      <c r="I78" s="983"/>
      <c r="J78" s="984"/>
      <c r="K78" s="3143"/>
      <c r="L78" s="3171"/>
      <c r="M78" s="3067">
        <v>69</v>
      </c>
      <c r="N78" s="3067">
        <v>7</v>
      </c>
      <c r="O78" s="3067">
        <v>7</v>
      </c>
      <c r="P78" s="3067">
        <f>M78+N78+O78</f>
        <v>83</v>
      </c>
      <c r="Q78" s="3067">
        <v>0.5</v>
      </c>
      <c r="R78" s="3149"/>
      <c r="S78" s="3176"/>
      <c r="T78" s="3149"/>
      <c r="U78" s="3176"/>
      <c r="V78" s="3171"/>
      <c r="W78" s="3171"/>
    </row>
    <row r="79" spans="1:23" ht="15" hidden="1" customHeight="1" x14ac:dyDescent="0.35">
      <c r="A79" s="3120"/>
      <c r="B79" s="3121"/>
      <c r="C79" s="3122"/>
      <c r="D79" s="996" t="s">
        <v>698</v>
      </c>
      <c r="E79" s="997"/>
      <c r="F79" s="997"/>
      <c r="G79" s="997"/>
      <c r="H79" s="997"/>
      <c r="I79" s="997"/>
      <c r="J79" s="998"/>
      <c r="K79" s="3172"/>
      <c r="L79" s="3173"/>
      <c r="M79" s="3067"/>
      <c r="N79" s="3067"/>
      <c r="O79" s="3067"/>
      <c r="P79" s="3067"/>
      <c r="Q79" s="3067"/>
      <c r="R79" s="3177"/>
      <c r="S79" s="3178"/>
      <c r="T79" s="3177"/>
      <c r="U79" s="3178"/>
      <c r="V79" s="3173"/>
      <c r="W79" s="3173"/>
    </row>
    <row r="80" spans="1:23" ht="7.15" hidden="1" customHeight="1" x14ac:dyDescent="0.35">
      <c r="A80" s="3168"/>
      <c r="B80" s="3169"/>
      <c r="C80" s="3170"/>
      <c r="D80" s="1003"/>
      <c r="E80" s="1004"/>
      <c r="F80" s="1004"/>
      <c r="G80" s="1004"/>
      <c r="H80" s="1004"/>
      <c r="I80" s="1004"/>
      <c r="J80" s="1005"/>
      <c r="K80" s="3174"/>
      <c r="L80" s="3175"/>
      <c r="M80" s="3067"/>
      <c r="N80" s="3067"/>
      <c r="O80" s="3067"/>
      <c r="P80" s="3067"/>
      <c r="Q80" s="3067"/>
      <c r="R80" s="3179"/>
      <c r="S80" s="3180"/>
      <c r="T80" s="3179"/>
      <c r="U80" s="3180"/>
      <c r="V80" s="3175"/>
      <c r="W80" s="3175"/>
    </row>
    <row r="81" spans="1:23" ht="16" thickBot="1" x14ac:dyDescent="0.4">
      <c r="A81" s="3188" t="s">
        <v>699</v>
      </c>
      <c r="B81" s="3189"/>
      <c r="C81" s="3190"/>
      <c r="D81" s="996" t="s">
        <v>700</v>
      </c>
      <c r="E81" s="997"/>
      <c r="F81" s="997"/>
      <c r="G81" s="997"/>
      <c r="H81" s="997"/>
      <c r="I81" s="997"/>
      <c r="J81" s="998"/>
      <c r="K81" s="3191">
        <v>25</v>
      </c>
      <c r="L81" s="3192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193">
        <v>10.6</v>
      </c>
      <c r="S81" s="3194"/>
      <c r="T81" s="3193">
        <v>11.1</v>
      </c>
      <c r="U81" s="3194"/>
      <c r="V81" s="1543">
        <v>26.5</v>
      </c>
      <c r="W81" s="1543">
        <v>28.1</v>
      </c>
    </row>
    <row r="82" spans="1:23" ht="15" x14ac:dyDescent="0.3">
      <c r="A82" s="3089" t="s">
        <v>701</v>
      </c>
      <c r="B82" s="3090"/>
      <c r="C82" s="3091"/>
      <c r="D82" s="976" t="s">
        <v>702</v>
      </c>
      <c r="E82" s="977"/>
      <c r="F82" s="977"/>
      <c r="G82" s="977"/>
      <c r="H82" s="977"/>
      <c r="I82" s="977"/>
      <c r="J82" s="978"/>
      <c r="K82" s="3130">
        <f>K85+K90+K84</f>
        <v>754.5</v>
      </c>
      <c r="L82" s="3131"/>
      <c r="M82" s="3067">
        <v>530</v>
      </c>
      <c r="N82" s="3067"/>
      <c r="O82" s="3067"/>
      <c r="P82" s="3067">
        <f>P84+P85+P90</f>
        <v>590</v>
      </c>
      <c r="Q82" s="3136">
        <v>375.10428000000002</v>
      </c>
      <c r="R82" s="3164">
        <f>R85+R90+R84</f>
        <v>1540</v>
      </c>
      <c r="S82" s="3165"/>
      <c r="T82" s="3164">
        <f>T85+T90+T84</f>
        <v>755</v>
      </c>
      <c r="U82" s="3165"/>
      <c r="V82" s="3131">
        <f>V85</f>
        <v>0</v>
      </c>
      <c r="W82" s="3131">
        <f>W85</f>
        <v>0</v>
      </c>
    </row>
    <row r="83" spans="1:23" thickBot="1" x14ac:dyDescent="0.35">
      <c r="A83" s="3092"/>
      <c r="B83" s="3093"/>
      <c r="C83" s="3094"/>
      <c r="D83" s="979" t="s">
        <v>703</v>
      </c>
      <c r="E83" s="980"/>
      <c r="F83" s="980"/>
      <c r="G83" s="980"/>
      <c r="H83" s="980"/>
      <c r="I83" s="980"/>
      <c r="J83" s="981"/>
      <c r="K83" s="3134"/>
      <c r="L83" s="3135"/>
      <c r="M83" s="3161"/>
      <c r="N83" s="3161"/>
      <c r="O83" s="3161"/>
      <c r="P83" s="3161"/>
      <c r="Q83" s="3270"/>
      <c r="R83" s="3166"/>
      <c r="S83" s="3167"/>
      <c r="T83" s="3166"/>
      <c r="U83" s="3167"/>
      <c r="V83" s="3135"/>
      <c r="W83" s="3135"/>
    </row>
    <row r="84" spans="1:23" ht="15.65" hidden="1" customHeight="1" x14ac:dyDescent="0.35">
      <c r="A84" s="3181" t="s">
        <v>704</v>
      </c>
      <c r="B84" s="3182"/>
      <c r="C84" s="3183"/>
      <c r="D84" s="1006" t="s">
        <v>705</v>
      </c>
      <c r="E84" s="1007"/>
      <c r="F84" s="1007"/>
      <c r="G84" s="1007"/>
      <c r="H84" s="1007"/>
      <c r="I84" s="1007"/>
      <c r="J84" s="1008"/>
      <c r="K84" s="3184"/>
      <c r="L84" s="3185"/>
      <c r="M84" s="883"/>
      <c r="N84" s="884"/>
      <c r="O84" s="884"/>
      <c r="P84" s="884"/>
      <c r="Q84" s="885">
        <v>62.085000000000001</v>
      </c>
      <c r="R84" s="3186"/>
      <c r="S84" s="3187"/>
      <c r="T84" s="3186"/>
      <c r="U84" s="3187"/>
      <c r="V84" s="1041"/>
      <c r="W84" s="1041"/>
    </row>
    <row r="85" spans="1:23" x14ac:dyDescent="0.35">
      <c r="A85" s="3198" t="s">
        <v>706</v>
      </c>
      <c r="B85" s="3199"/>
      <c r="C85" s="3200"/>
      <c r="D85" s="996" t="s">
        <v>707</v>
      </c>
      <c r="E85" s="997"/>
      <c r="F85" s="997"/>
      <c r="G85" s="997"/>
      <c r="H85" s="997"/>
      <c r="I85" s="997"/>
      <c r="J85" s="998"/>
      <c r="K85" s="3201">
        <v>754.5</v>
      </c>
      <c r="L85" s="3202"/>
      <c r="M85" s="3163">
        <v>190</v>
      </c>
      <c r="N85" s="3163">
        <v>30</v>
      </c>
      <c r="O85" s="3163">
        <v>30</v>
      </c>
      <c r="P85" s="3163">
        <f>M85+N85+O85</f>
        <v>250</v>
      </c>
      <c r="Q85" s="3197">
        <v>243.4375</v>
      </c>
      <c r="R85" s="3151">
        <v>1540</v>
      </c>
      <c r="S85" s="3152"/>
      <c r="T85" s="3151">
        <v>755</v>
      </c>
      <c r="U85" s="3152"/>
      <c r="V85" s="3202">
        <v>0</v>
      </c>
      <c r="W85" s="3202">
        <v>0</v>
      </c>
    </row>
    <row r="86" spans="1:23" x14ac:dyDescent="0.35">
      <c r="A86" s="3120"/>
      <c r="B86" s="3121"/>
      <c r="C86" s="3122"/>
      <c r="D86" s="996" t="s">
        <v>708</v>
      </c>
      <c r="E86" s="997"/>
      <c r="F86" s="997"/>
      <c r="G86" s="997"/>
      <c r="H86" s="997"/>
      <c r="I86" s="997"/>
      <c r="J86" s="998"/>
      <c r="K86" s="3145"/>
      <c r="L86" s="3146"/>
      <c r="M86" s="3067"/>
      <c r="N86" s="3067"/>
      <c r="O86" s="3067"/>
      <c r="P86" s="3067"/>
      <c r="Q86" s="3136"/>
      <c r="R86" s="3151"/>
      <c r="S86" s="3152"/>
      <c r="T86" s="3151"/>
      <c r="U86" s="3152"/>
      <c r="V86" s="3146"/>
      <c r="W86" s="3146"/>
    </row>
    <row r="87" spans="1:23" x14ac:dyDescent="0.35">
      <c r="A87" s="3120"/>
      <c r="B87" s="3121"/>
      <c r="C87" s="3122"/>
      <c r="D87" s="996" t="s">
        <v>709</v>
      </c>
      <c r="E87" s="997"/>
      <c r="F87" s="997"/>
      <c r="G87" s="997"/>
      <c r="H87" s="997"/>
      <c r="I87" s="997"/>
      <c r="J87" s="998"/>
      <c r="K87" s="3145"/>
      <c r="L87" s="3146"/>
      <c r="M87" s="3067"/>
      <c r="N87" s="3067"/>
      <c r="O87" s="3067"/>
      <c r="P87" s="3067"/>
      <c r="Q87" s="3136"/>
      <c r="R87" s="3151"/>
      <c r="S87" s="3152"/>
      <c r="T87" s="3151"/>
      <c r="U87" s="3152"/>
      <c r="V87" s="3146"/>
      <c r="W87" s="3146"/>
    </row>
    <row r="88" spans="1:23" x14ac:dyDescent="0.35">
      <c r="A88" s="3120"/>
      <c r="B88" s="3121"/>
      <c r="C88" s="3122"/>
      <c r="D88" s="996" t="s">
        <v>710</v>
      </c>
      <c r="E88" s="997"/>
      <c r="F88" s="997"/>
      <c r="G88" s="997"/>
      <c r="H88" s="997"/>
      <c r="I88" s="997"/>
      <c r="J88" s="998"/>
      <c r="K88" s="3145"/>
      <c r="L88" s="3146"/>
      <c r="M88" s="3067"/>
      <c r="N88" s="3067"/>
      <c r="O88" s="3067"/>
      <c r="P88" s="3067"/>
      <c r="Q88" s="3136"/>
      <c r="R88" s="3151"/>
      <c r="S88" s="3152"/>
      <c r="T88" s="3151"/>
      <c r="U88" s="3152"/>
      <c r="V88" s="3146"/>
      <c r="W88" s="3146"/>
    </row>
    <row r="89" spans="1:23" ht="16" thickBot="1" x14ac:dyDescent="0.4">
      <c r="A89" s="3044"/>
      <c r="B89" s="3045"/>
      <c r="C89" s="3046"/>
      <c r="D89" s="985" t="s">
        <v>711</v>
      </c>
      <c r="E89" s="986"/>
      <c r="F89" s="986"/>
      <c r="G89" s="986"/>
      <c r="H89" s="986"/>
      <c r="I89" s="986"/>
      <c r="J89" s="987"/>
      <c r="K89" s="3147"/>
      <c r="L89" s="3148"/>
      <c r="M89" s="3067"/>
      <c r="N89" s="3067"/>
      <c r="O89" s="3067"/>
      <c r="P89" s="3067"/>
      <c r="Q89" s="3136"/>
      <c r="R89" s="3153"/>
      <c r="S89" s="3154"/>
      <c r="T89" s="3153"/>
      <c r="U89" s="3154"/>
      <c r="V89" s="3148"/>
      <c r="W89" s="3148"/>
    </row>
    <row r="90" spans="1:23" ht="15.65" hidden="1" customHeight="1" thickBot="1" x14ac:dyDescent="0.4">
      <c r="A90" s="3041" t="s">
        <v>712</v>
      </c>
      <c r="B90" s="3042"/>
      <c r="C90" s="3043"/>
      <c r="D90" s="996" t="s">
        <v>713</v>
      </c>
      <c r="E90" s="997"/>
      <c r="F90" s="997"/>
      <c r="G90" s="997"/>
      <c r="H90" s="997"/>
      <c r="I90" s="997"/>
      <c r="J90" s="998"/>
      <c r="K90" s="3143"/>
      <c r="L90" s="3144"/>
      <c r="M90" s="3067">
        <v>340</v>
      </c>
      <c r="N90" s="3067"/>
      <c r="O90" s="3067"/>
      <c r="P90" s="3067">
        <f>M90+N90+O90</f>
        <v>340</v>
      </c>
      <c r="Q90" s="3136">
        <v>69.581779999999995</v>
      </c>
      <c r="R90" s="3149"/>
      <c r="S90" s="3150"/>
      <c r="T90" s="3149"/>
      <c r="U90" s="3150"/>
      <c r="V90" s="3144"/>
      <c r="W90" s="3144"/>
    </row>
    <row r="91" spans="1:23" ht="15.65" hidden="1" customHeight="1" thickBot="1" x14ac:dyDescent="0.4">
      <c r="A91" s="3120"/>
      <c r="B91" s="3121"/>
      <c r="C91" s="3122"/>
      <c r="D91" s="996" t="s">
        <v>714</v>
      </c>
      <c r="E91" s="997"/>
      <c r="F91" s="997"/>
      <c r="G91" s="997"/>
      <c r="H91" s="997"/>
      <c r="I91" s="997"/>
      <c r="J91" s="998"/>
      <c r="K91" s="3145"/>
      <c r="L91" s="3146"/>
      <c r="M91" s="3067"/>
      <c r="N91" s="3067"/>
      <c r="O91" s="3067"/>
      <c r="P91" s="3067"/>
      <c r="Q91" s="3136"/>
      <c r="R91" s="3151"/>
      <c r="S91" s="3152"/>
      <c r="T91" s="3151"/>
      <c r="U91" s="3152"/>
      <c r="V91" s="3146"/>
      <c r="W91" s="3146"/>
    </row>
    <row r="92" spans="1:23" ht="15.65" hidden="1" customHeight="1" thickBot="1" x14ac:dyDescent="0.4">
      <c r="A92" s="3120"/>
      <c r="B92" s="3121"/>
      <c r="C92" s="3122"/>
      <c r="D92" s="996" t="s">
        <v>715</v>
      </c>
      <c r="E92" s="997"/>
      <c r="F92" s="997"/>
      <c r="G92" s="997"/>
      <c r="H92" s="997"/>
      <c r="I92" s="997"/>
      <c r="J92" s="998"/>
      <c r="K92" s="3145"/>
      <c r="L92" s="3146"/>
      <c r="M92" s="3067"/>
      <c r="N92" s="3067"/>
      <c r="O92" s="3067"/>
      <c r="P92" s="3067"/>
      <c r="Q92" s="3136"/>
      <c r="R92" s="3151"/>
      <c r="S92" s="3152"/>
      <c r="T92" s="3151"/>
      <c r="U92" s="3152"/>
      <c r="V92" s="3146"/>
      <c r="W92" s="3146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47"/>
      <c r="L93" s="3148"/>
      <c r="M93" s="880"/>
      <c r="N93" s="880"/>
      <c r="O93" s="880"/>
      <c r="P93" s="880"/>
      <c r="Q93" s="886"/>
      <c r="R93" s="3151"/>
      <c r="S93" s="3152"/>
      <c r="T93" s="3151"/>
      <c r="U93" s="3152"/>
      <c r="V93" s="3148"/>
      <c r="W93" s="3148"/>
    </row>
    <row r="94" spans="1:23" ht="15.75" customHeight="1" x14ac:dyDescent="0.35">
      <c r="A94" s="3089" t="s">
        <v>716</v>
      </c>
      <c r="B94" s="3090"/>
      <c r="C94" s="3091"/>
      <c r="D94" s="3110" t="s">
        <v>717</v>
      </c>
      <c r="E94" s="3111"/>
      <c r="F94" s="3111"/>
      <c r="G94" s="3111"/>
      <c r="H94" s="3111"/>
      <c r="I94" s="3111"/>
      <c r="J94" s="3112"/>
      <c r="K94" s="3130">
        <f>K96</f>
        <v>20</v>
      </c>
      <c r="L94" s="3131"/>
      <c r="M94" s="880"/>
      <c r="N94" s="880"/>
      <c r="O94" s="880"/>
      <c r="P94" s="880"/>
      <c r="Q94" s="886"/>
      <c r="R94" s="3164">
        <f>R96</f>
        <v>10</v>
      </c>
      <c r="S94" s="3165"/>
      <c r="T94" s="3164">
        <f>T96</f>
        <v>11</v>
      </c>
      <c r="U94" s="3165"/>
      <c r="V94" s="3131">
        <f>V96</f>
        <v>20</v>
      </c>
      <c r="W94" s="3131">
        <f>W96</f>
        <v>20</v>
      </c>
    </row>
    <row r="95" spans="1:23" ht="15.75" customHeight="1" thickBot="1" x14ac:dyDescent="0.4">
      <c r="A95" s="3092"/>
      <c r="B95" s="3093"/>
      <c r="C95" s="3094"/>
      <c r="D95" s="3113"/>
      <c r="E95" s="3114"/>
      <c r="F95" s="3114"/>
      <c r="G95" s="3114"/>
      <c r="H95" s="3114"/>
      <c r="I95" s="3114"/>
      <c r="J95" s="3115"/>
      <c r="K95" s="3134"/>
      <c r="L95" s="3135"/>
      <c r="M95" s="880"/>
      <c r="N95" s="880"/>
      <c r="O95" s="880"/>
      <c r="P95" s="880"/>
      <c r="Q95" s="886"/>
      <c r="R95" s="3195"/>
      <c r="S95" s="3196"/>
      <c r="T95" s="3195"/>
      <c r="U95" s="3196"/>
      <c r="V95" s="3135"/>
      <c r="W95" s="3135"/>
    </row>
    <row r="96" spans="1:23" ht="15.75" customHeight="1" x14ac:dyDescent="0.35">
      <c r="A96" s="3041" t="s">
        <v>718</v>
      </c>
      <c r="B96" s="3042"/>
      <c r="C96" s="3043"/>
      <c r="D96" s="3203" t="s">
        <v>719</v>
      </c>
      <c r="E96" s="3204"/>
      <c r="F96" s="3204"/>
      <c r="G96" s="3204"/>
      <c r="H96" s="3204"/>
      <c r="I96" s="3204"/>
      <c r="J96" s="3205"/>
      <c r="K96" s="3143">
        <v>20</v>
      </c>
      <c r="L96" s="3144"/>
      <c r="M96" s="880"/>
      <c r="N96" s="880"/>
      <c r="O96" s="880"/>
      <c r="P96" s="880"/>
      <c r="Q96" s="886"/>
      <c r="R96" s="3149">
        <v>10</v>
      </c>
      <c r="S96" s="3150"/>
      <c r="T96" s="3149">
        <v>11</v>
      </c>
      <c r="U96" s="3150"/>
      <c r="V96" s="3144">
        <v>20</v>
      </c>
      <c r="W96" s="3144">
        <v>20</v>
      </c>
    </row>
    <row r="97" spans="1:26" ht="27" customHeight="1" thickBot="1" x14ac:dyDescent="0.4">
      <c r="A97" s="3044"/>
      <c r="B97" s="3045"/>
      <c r="C97" s="3046"/>
      <c r="D97" s="3206"/>
      <c r="E97" s="3207"/>
      <c r="F97" s="3207"/>
      <c r="G97" s="3207"/>
      <c r="H97" s="3207"/>
      <c r="I97" s="3207"/>
      <c r="J97" s="3208"/>
      <c r="K97" s="3147"/>
      <c r="L97" s="3148"/>
      <c r="M97" s="880"/>
      <c r="N97" s="880"/>
      <c r="O97" s="880"/>
      <c r="P97" s="880"/>
      <c r="Q97" s="886"/>
      <c r="R97" s="3209"/>
      <c r="S97" s="3210"/>
      <c r="T97" s="3209"/>
      <c r="U97" s="3210"/>
      <c r="V97" s="3148"/>
      <c r="W97" s="3148"/>
    </row>
    <row r="98" spans="1:26" ht="15" x14ac:dyDescent="0.3">
      <c r="A98" s="3051" t="s">
        <v>720</v>
      </c>
      <c r="B98" s="3052"/>
      <c r="C98" s="3053"/>
      <c r="D98" s="976"/>
      <c r="E98" s="977"/>
      <c r="F98" s="977"/>
      <c r="G98" s="977"/>
      <c r="H98" s="977"/>
      <c r="I98" s="977"/>
      <c r="J98" s="978"/>
      <c r="K98" s="3130">
        <f>K100</f>
        <v>25</v>
      </c>
      <c r="L98" s="3131"/>
      <c r="M98" s="3067">
        <v>90</v>
      </c>
      <c r="N98" s="3067"/>
      <c r="O98" s="3067"/>
      <c r="P98" s="3067">
        <f>P100</f>
        <v>150</v>
      </c>
      <c r="Q98" s="3136">
        <v>129.83756</v>
      </c>
      <c r="R98" s="3164">
        <f>R100</f>
        <v>21</v>
      </c>
      <c r="S98" s="3165"/>
      <c r="T98" s="3164">
        <f>T100</f>
        <v>22</v>
      </c>
      <c r="U98" s="3165"/>
      <c r="V98" s="3131">
        <f>V100</f>
        <v>26.5</v>
      </c>
      <c r="W98" s="3131">
        <f>W100</f>
        <v>28.1</v>
      </c>
    </row>
    <row r="99" spans="1:26" thickBot="1" x14ac:dyDescent="0.35">
      <c r="A99" s="3054"/>
      <c r="B99" s="3055"/>
      <c r="C99" s="3056"/>
      <c r="D99" s="1009" t="s">
        <v>721</v>
      </c>
      <c r="E99" s="1010"/>
      <c r="F99" s="1010"/>
      <c r="G99" s="1010"/>
      <c r="H99" s="1010"/>
      <c r="I99" s="1010"/>
      <c r="J99" s="1011"/>
      <c r="K99" s="3134"/>
      <c r="L99" s="3135"/>
      <c r="M99" s="3067"/>
      <c r="N99" s="3067"/>
      <c r="O99" s="3067"/>
      <c r="P99" s="3067"/>
      <c r="Q99" s="3136"/>
      <c r="R99" s="3195"/>
      <c r="S99" s="3196"/>
      <c r="T99" s="3195"/>
      <c r="U99" s="3196"/>
      <c r="V99" s="3135"/>
      <c r="W99" s="3135"/>
    </row>
    <row r="100" spans="1:26" ht="15" customHeight="1" x14ac:dyDescent="0.3">
      <c r="A100" s="3038" t="s">
        <v>722</v>
      </c>
      <c r="B100" s="3039"/>
      <c r="C100" s="3040"/>
      <c r="D100" s="976"/>
      <c r="E100" s="977"/>
      <c r="F100" s="977"/>
      <c r="G100" s="977"/>
      <c r="H100" s="977"/>
      <c r="I100" s="977"/>
      <c r="J100" s="978"/>
      <c r="K100" s="3143">
        <v>25</v>
      </c>
      <c r="L100" s="3144"/>
      <c r="M100" s="3067">
        <v>90</v>
      </c>
      <c r="N100" s="3067">
        <v>30</v>
      </c>
      <c r="O100" s="3067">
        <v>30</v>
      </c>
      <c r="P100" s="3067">
        <f>M100+N100+O100</f>
        <v>150</v>
      </c>
      <c r="Q100" s="3136">
        <v>117.42055999999999</v>
      </c>
      <c r="R100" s="3149">
        <v>21</v>
      </c>
      <c r="S100" s="3150"/>
      <c r="T100" s="3149">
        <v>22</v>
      </c>
      <c r="U100" s="3150"/>
      <c r="V100" s="3144">
        <v>26.5</v>
      </c>
      <c r="W100" s="3144">
        <v>28.1</v>
      </c>
    </row>
    <row r="101" spans="1:26" ht="16" thickBot="1" x14ac:dyDescent="0.4">
      <c r="A101" s="3032"/>
      <c r="B101" s="3025"/>
      <c r="C101" s="3033"/>
      <c r="D101" s="1003" t="s">
        <v>723</v>
      </c>
      <c r="E101" s="1010"/>
      <c r="F101" s="1010"/>
      <c r="G101" s="1010"/>
      <c r="H101" s="1010"/>
      <c r="I101" s="1010"/>
      <c r="J101" s="1011"/>
      <c r="K101" s="3147"/>
      <c r="L101" s="3148"/>
      <c r="M101" s="3067"/>
      <c r="N101" s="3067"/>
      <c r="O101" s="3067"/>
      <c r="P101" s="3067"/>
      <c r="Q101" s="3136"/>
      <c r="R101" s="3209"/>
      <c r="S101" s="3210"/>
      <c r="T101" s="3209"/>
      <c r="U101" s="3210"/>
      <c r="V101" s="3148"/>
      <c r="W101" s="3148"/>
    </row>
    <row r="102" spans="1:26" ht="15" x14ac:dyDescent="0.3">
      <c r="A102" s="3051" t="s">
        <v>724</v>
      </c>
      <c r="B102" s="3052"/>
      <c r="C102" s="3053"/>
      <c r="D102" s="976"/>
      <c r="E102" s="977"/>
      <c r="F102" s="977"/>
      <c r="G102" s="977"/>
      <c r="H102" s="977"/>
      <c r="I102" s="977"/>
      <c r="J102" s="978"/>
      <c r="K102" s="3130">
        <f>K105+K107+K108+K111+K112+K115</f>
        <v>19035.8</v>
      </c>
      <c r="L102" s="3131"/>
      <c r="M102" s="3067">
        <v>8484.0619999999999</v>
      </c>
      <c r="N102" s="3067"/>
      <c r="O102" s="3067"/>
      <c r="P102" s="3067">
        <f>P105+P111+P112+P113+P115</f>
        <v>8524.0619999999999</v>
      </c>
      <c r="Q102" s="3136">
        <v>3580.9459499999998</v>
      </c>
      <c r="R102" s="3219">
        <f>R105+R111+R112+R113+R115+R106+S108+R114+R110+R109</f>
        <v>810.5</v>
      </c>
      <c r="S102" s="3220"/>
      <c r="T102" s="3219">
        <f>T105+T111+T112+T113+T115+T106+U108+T114+T110+T109</f>
        <v>818.5</v>
      </c>
      <c r="U102" s="3220"/>
      <c r="V102" s="3131">
        <f>V105+V107+V108+V111+V112+V115</f>
        <v>19076</v>
      </c>
      <c r="W102" s="3131">
        <f>W105+W107+W108+W111+W112+W115</f>
        <v>18639.400000000001</v>
      </c>
    </row>
    <row r="103" spans="1:26" ht="15" x14ac:dyDescent="0.3">
      <c r="A103" s="3231"/>
      <c r="B103" s="3232"/>
      <c r="C103" s="3233"/>
      <c r="D103" s="999" t="s">
        <v>725</v>
      </c>
      <c r="E103" s="1000"/>
      <c r="F103" s="1000"/>
      <c r="G103" s="1000"/>
      <c r="H103" s="1000"/>
      <c r="I103" s="1000"/>
      <c r="J103" s="1001"/>
      <c r="K103" s="3132"/>
      <c r="L103" s="3133"/>
      <c r="M103" s="3067"/>
      <c r="N103" s="3067"/>
      <c r="O103" s="3067"/>
      <c r="P103" s="3067"/>
      <c r="Q103" s="3136"/>
      <c r="R103" s="3221"/>
      <c r="S103" s="3222"/>
      <c r="T103" s="3221"/>
      <c r="U103" s="3222"/>
      <c r="V103" s="3133"/>
      <c r="W103" s="3133"/>
    </row>
    <row r="104" spans="1:26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34"/>
      <c r="L104" s="3135"/>
      <c r="M104" s="880"/>
      <c r="N104" s="880"/>
      <c r="O104" s="880"/>
      <c r="P104" s="880"/>
      <c r="Q104" s="886"/>
      <c r="R104" s="3223"/>
      <c r="S104" s="3224"/>
      <c r="T104" s="3223"/>
      <c r="U104" s="3224"/>
      <c r="V104" s="3135"/>
      <c r="W104" s="3135"/>
    </row>
    <row r="105" spans="1:26" ht="34.5" customHeight="1" thickBot="1" x14ac:dyDescent="0.4">
      <c r="A105" s="3211" t="s">
        <v>976</v>
      </c>
      <c r="B105" s="3212"/>
      <c r="C105" s="3213"/>
      <c r="D105" s="3214" t="s">
        <v>864</v>
      </c>
      <c r="E105" s="3225"/>
      <c r="F105" s="3225"/>
      <c r="G105" s="3225"/>
      <c r="H105" s="3225"/>
      <c r="I105" s="3225"/>
      <c r="J105" s="3226"/>
      <c r="K105" s="3227">
        <v>16236.3</v>
      </c>
      <c r="L105" s="3228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229"/>
      <c r="S105" s="3230"/>
      <c r="T105" s="3229"/>
      <c r="U105" s="3230"/>
      <c r="V105" s="1037">
        <v>16223.5</v>
      </c>
      <c r="W105" s="1037">
        <v>16517.7</v>
      </c>
    </row>
    <row r="106" spans="1:26" ht="34.5" hidden="1" customHeight="1" thickBot="1" x14ac:dyDescent="0.4">
      <c r="A106" s="3211" t="s">
        <v>727</v>
      </c>
      <c r="B106" s="3212"/>
      <c r="C106" s="3213"/>
      <c r="D106" s="3214" t="s">
        <v>728</v>
      </c>
      <c r="E106" s="3225"/>
      <c r="F106" s="3225"/>
      <c r="G106" s="3225"/>
      <c r="H106" s="3225"/>
      <c r="I106" s="3225"/>
      <c r="J106" s="3226"/>
      <c r="K106" s="3234"/>
      <c r="L106" s="3235"/>
      <c r="M106" s="880"/>
      <c r="N106" s="880"/>
      <c r="O106" s="880"/>
      <c r="P106" s="880"/>
      <c r="Q106" s="886"/>
      <c r="R106" s="3268"/>
      <c r="S106" s="3269"/>
      <c r="T106" s="3268"/>
      <c r="U106" s="3269"/>
      <c r="V106" s="1040"/>
      <c r="W106" s="1040"/>
    </row>
    <row r="107" spans="1:26" ht="61.5" customHeight="1" thickBot="1" x14ac:dyDescent="0.4">
      <c r="A107" s="3236" t="s">
        <v>975</v>
      </c>
      <c r="B107" s="3237"/>
      <c r="C107" s="3238"/>
      <c r="D107" s="3214" t="s">
        <v>888</v>
      </c>
      <c r="E107" s="3215"/>
      <c r="F107" s="3215"/>
      <c r="G107" s="3215"/>
      <c r="H107" s="3215"/>
      <c r="I107" s="3215"/>
      <c r="J107" s="3216"/>
      <c r="K107" s="3266">
        <v>388.9</v>
      </c>
      <c r="L107" s="3267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5" customHeight="1" thickBot="1" x14ac:dyDescent="0.4">
      <c r="A108" s="3211" t="s">
        <v>974</v>
      </c>
      <c r="B108" s="3212"/>
      <c r="C108" s="3213"/>
      <c r="D108" s="3214" t="s">
        <v>890</v>
      </c>
      <c r="E108" s="3215"/>
      <c r="F108" s="3215"/>
      <c r="G108" s="3215"/>
      <c r="H108" s="3215"/>
      <c r="I108" s="3215"/>
      <c r="J108" s="3216"/>
      <c r="K108" s="3217">
        <v>976.8</v>
      </c>
      <c r="L108" s="3218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5" hidden="1" customHeight="1" thickBot="1" x14ac:dyDescent="0.4">
      <c r="A109" s="3211" t="s">
        <v>731</v>
      </c>
      <c r="B109" s="3212"/>
      <c r="C109" s="3213"/>
      <c r="D109" s="3239" t="s">
        <v>732</v>
      </c>
      <c r="E109" s="3240"/>
      <c r="F109" s="3240"/>
      <c r="G109" s="3240"/>
      <c r="H109" s="3240"/>
      <c r="I109" s="3240"/>
      <c r="J109" s="3241"/>
      <c r="K109" s="3242"/>
      <c r="L109" s="3243"/>
      <c r="M109" s="880"/>
      <c r="N109" s="880"/>
      <c r="O109" s="880"/>
      <c r="P109" s="880"/>
      <c r="Q109" s="886"/>
      <c r="R109" s="3244"/>
      <c r="S109" s="3245"/>
      <c r="T109" s="3244"/>
      <c r="U109" s="3245"/>
      <c r="V109" s="1038"/>
      <c r="W109" s="1700"/>
      <c r="X109" s="1702"/>
      <c r="Y109" s="1702"/>
      <c r="Z109" s="1702"/>
    </row>
    <row r="110" spans="1:26" ht="60.65" hidden="1" customHeight="1" thickBot="1" x14ac:dyDescent="0.4">
      <c r="A110" s="3211" t="s">
        <v>733</v>
      </c>
      <c r="B110" s="3212"/>
      <c r="C110" s="3213"/>
      <c r="D110" s="3246" t="s">
        <v>734</v>
      </c>
      <c r="E110" s="3247"/>
      <c r="F110" s="3247"/>
      <c r="G110" s="3247"/>
      <c r="H110" s="3247"/>
      <c r="I110" s="3247"/>
      <c r="J110" s="3248"/>
      <c r="K110" s="3242"/>
      <c r="L110" s="3243"/>
      <c r="M110" s="880"/>
      <c r="N110" s="880"/>
      <c r="O110" s="880"/>
      <c r="P110" s="880"/>
      <c r="Q110" s="886"/>
      <c r="R110" s="3244"/>
      <c r="S110" s="3245"/>
      <c r="T110" s="3244"/>
      <c r="U110" s="3245"/>
      <c r="V110" s="1038"/>
      <c r="W110" s="1700"/>
      <c r="X110" s="1702"/>
      <c r="Y110" s="1702"/>
      <c r="Z110" s="1702"/>
    </row>
    <row r="111" spans="1:26" ht="36.75" customHeight="1" thickBot="1" x14ac:dyDescent="0.4">
      <c r="A111" s="3211" t="s">
        <v>973</v>
      </c>
      <c r="B111" s="3212"/>
      <c r="C111" s="3213"/>
      <c r="D111" s="3214" t="s">
        <v>736</v>
      </c>
      <c r="E111" s="3225"/>
      <c r="F111" s="3225"/>
      <c r="G111" s="3225"/>
      <c r="H111" s="3225"/>
      <c r="I111" s="3225"/>
      <c r="J111" s="3226"/>
      <c r="K111" s="3249">
        <v>727.8</v>
      </c>
      <c r="L111" s="3250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251"/>
      <c r="S111" s="3252"/>
      <c r="T111" s="3251"/>
      <c r="U111" s="3252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4">
      <c r="A112" s="3211" t="s">
        <v>972</v>
      </c>
      <c r="B112" s="3212"/>
      <c r="C112" s="3213"/>
      <c r="D112" s="3214" t="s">
        <v>889</v>
      </c>
      <c r="E112" s="3225"/>
      <c r="F112" s="3225"/>
      <c r="G112" s="3225"/>
      <c r="H112" s="3225"/>
      <c r="I112" s="3225"/>
      <c r="J112" s="3226"/>
      <c r="K112" s="3249">
        <v>656</v>
      </c>
      <c r="L112" s="3250"/>
      <c r="M112" s="1691">
        <v>10</v>
      </c>
      <c r="N112" s="1691"/>
      <c r="O112" s="1691"/>
      <c r="P112" s="1691">
        <v>10</v>
      </c>
      <c r="Q112" s="1692">
        <v>10</v>
      </c>
      <c r="R112" s="3251">
        <v>598.5</v>
      </c>
      <c r="S112" s="3252"/>
      <c r="T112" s="3251">
        <v>598.5</v>
      </c>
      <c r="U112" s="3252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4">
      <c r="A113" s="3211" t="s">
        <v>738</v>
      </c>
      <c r="B113" s="3212"/>
      <c r="C113" s="3213"/>
      <c r="D113" s="3214" t="s">
        <v>739</v>
      </c>
      <c r="E113" s="3225"/>
      <c r="F113" s="3225"/>
      <c r="G113" s="3225"/>
      <c r="H113" s="3225"/>
      <c r="I113" s="3225"/>
      <c r="J113" s="3226"/>
      <c r="K113" s="3242"/>
      <c r="L113" s="3243"/>
      <c r="M113" s="880">
        <v>613</v>
      </c>
      <c r="N113" s="880"/>
      <c r="O113" s="880"/>
      <c r="P113" s="880">
        <v>613</v>
      </c>
      <c r="Q113" s="886">
        <v>613</v>
      </c>
      <c r="R113" s="3244"/>
      <c r="S113" s="3245"/>
      <c r="T113" s="3244"/>
      <c r="U113" s="3245"/>
      <c r="V113" s="1038"/>
      <c r="W113" s="1038"/>
    </row>
    <row r="114" spans="1:26" ht="58.9" hidden="1" customHeight="1" thickBot="1" x14ac:dyDescent="0.4">
      <c r="A114" s="3211" t="s">
        <v>740</v>
      </c>
      <c r="B114" s="3212"/>
      <c r="C114" s="3213"/>
      <c r="D114" s="3214" t="s">
        <v>741</v>
      </c>
      <c r="E114" s="3225"/>
      <c r="F114" s="3225"/>
      <c r="G114" s="3225"/>
      <c r="H114" s="3225"/>
      <c r="I114" s="3225"/>
      <c r="J114" s="3226"/>
      <c r="K114" s="3253"/>
      <c r="L114" s="3254"/>
      <c r="M114" s="880"/>
      <c r="N114" s="880"/>
      <c r="O114" s="880"/>
      <c r="P114" s="880"/>
      <c r="Q114" s="886"/>
      <c r="R114" s="3255"/>
      <c r="S114" s="3256"/>
      <c r="T114" s="3255"/>
      <c r="U114" s="3256"/>
      <c r="V114" s="1039"/>
      <c r="W114" s="1039"/>
    </row>
    <row r="115" spans="1:26" ht="34.5" customHeight="1" thickBot="1" x14ac:dyDescent="0.4">
      <c r="A115" s="3211" t="s">
        <v>971</v>
      </c>
      <c r="B115" s="3212"/>
      <c r="C115" s="3213"/>
      <c r="D115" s="3257" t="s">
        <v>743</v>
      </c>
      <c r="E115" s="3258"/>
      <c r="F115" s="3258"/>
      <c r="G115" s="3258"/>
      <c r="H115" s="3258"/>
      <c r="I115" s="3258"/>
      <c r="J115" s="3259"/>
      <c r="K115" s="3227">
        <v>50</v>
      </c>
      <c r="L115" s="3228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260">
        <v>212</v>
      </c>
      <c r="S115" s="3261"/>
      <c r="T115" s="3260">
        <v>220</v>
      </c>
      <c r="U115" s="3261"/>
      <c r="V115" s="1037">
        <v>75</v>
      </c>
      <c r="W115" s="1037">
        <v>100</v>
      </c>
    </row>
    <row r="116" spans="1:26" ht="12.75" customHeight="1" x14ac:dyDescent="0.35">
      <c r="A116" s="3051" t="s">
        <v>744</v>
      </c>
      <c r="B116" s="3052"/>
      <c r="C116" s="3053"/>
      <c r="D116" s="982"/>
      <c r="E116" s="983"/>
      <c r="F116" s="983"/>
      <c r="G116" s="983"/>
      <c r="H116" s="983"/>
      <c r="I116" s="983"/>
      <c r="J116" s="984"/>
      <c r="K116" s="3262">
        <f>K102+K32</f>
        <v>89056.6</v>
      </c>
      <c r="L116" s="3263"/>
      <c r="M116" s="3067">
        <v>25719.42</v>
      </c>
      <c r="N116" s="3067"/>
      <c r="O116" s="3067"/>
      <c r="P116" s="3161">
        <f>P32+P102</f>
        <v>33106.455999999998</v>
      </c>
      <c r="Q116" s="3067"/>
      <c r="R116" s="3219">
        <f>R32+R102</f>
        <v>74406.700000000012</v>
      </c>
      <c r="S116" s="3220"/>
      <c r="T116" s="3219">
        <f>T32+T102</f>
        <v>76479.200000000012</v>
      </c>
      <c r="U116" s="3220"/>
      <c r="V116" s="3131">
        <f>V102+V32</f>
        <v>90091</v>
      </c>
      <c r="W116" s="3131">
        <f>W102+W32</f>
        <v>92491.5</v>
      </c>
    </row>
    <row r="117" spans="1:26" ht="16.5" customHeight="1" thickBot="1" x14ac:dyDescent="0.4">
      <c r="A117" s="3054"/>
      <c r="B117" s="3055"/>
      <c r="C117" s="3056"/>
      <c r="D117" s="979"/>
      <c r="E117" s="980"/>
      <c r="F117" s="980"/>
      <c r="G117" s="986"/>
      <c r="H117" s="986"/>
      <c r="I117" s="986"/>
      <c r="J117" s="987"/>
      <c r="K117" s="3264"/>
      <c r="L117" s="3265"/>
      <c r="M117" s="3067"/>
      <c r="N117" s="3067"/>
      <c r="O117" s="3067"/>
      <c r="P117" s="3163"/>
      <c r="Q117" s="3067"/>
      <c r="R117" s="3223"/>
      <c r="S117" s="3224"/>
      <c r="T117" s="3223"/>
      <c r="U117" s="3224"/>
      <c r="V117" s="3135"/>
      <c r="W117" s="3135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3">
        <v>356.3</v>
      </c>
      <c r="Y119" s="1703">
        <v>356.3</v>
      </c>
      <c r="Z119" s="1703">
        <v>356.3</v>
      </c>
    </row>
    <row r="120" spans="1:26" x14ac:dyDescent="0.35">
      <c r="X120" s="1703">
        <v>106.9</v>
      </c>
      <c r="Y120" s="1703">
        <v>88.4</v>
      </c>
      <c r="Z120" s="1703">
        <v>874.4</v>
      </c>
    </row>
    <row r="121" spans="1:26" x14ac:dyDescent="0.35">
      <c r="X121" s="1703">
        <v>-648.9</v>
      </c>
      <c r="Y121" s="1703">
        <v>-648.9</v>
      </c>
      <c r="Z121" s="1703">
        <v>-648.9</v>
      </c>
    </row>
    <row r="122" spans="1:26" x14ac:dyDescent="0.3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3" hidden="1" customWidth="1"/>
    <col min="11" max="11" width="14.7265625" style="3" hidden="1" customWidth="1"/>
    <col min="12" max="12" width="15.81640625" style="3" hidden="1" customWidth="1"/>
    <col min="13" max="13" width="18.7265625" style="3" hidden="1" customWidth="1"/>
    <col min="14" max="14" width="22.1796875" style="3" hidden="1" customWidth="1"/>
    <col min="15" max="15" width="22.1796875" style="3" customWidth="1"/>
    <col min="16" max="16" width="22.1796875" style="42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2" ht="15.5" x14ac:dyDescent="0.35">
      <c r="O1" s="4"/>
      <c r="P1" s="410" t="s">
        <v>745</v>
      </c>
      <c r="Q1" s="4"/>
      <c r="R1" s="259"/>
      <c r="S1" s="259"/>
      <c r="T1" s="259"/>
      <c r="U1" s="259"/>
    </row>
    <row r="2" spans="1:22" ht="15.5" x14ac:dyDescent="0.35">
      <c r="L2" s="3023" t="s">
        <v>450</v>
      </c>
      <c r="M2" s="3023"/>
      <c r="N2" s="3023"/>
      <c r="O2" s="3023"/>
      <c r="P2" s="3023"/>
      <c r="Q2" s="4"/>
    </row>
    <row r="3" spans="1:22" ht="15.5" x14ac:dyDescent="0.3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5" x14ac:dyDescent="0.3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5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5" hidden="1" x14ac:dyDescent="0.3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5" hidden="1" x14ac:dyDescent="0.35">
      <c r="E8" s="254"/>
      <c r="O8" s="254"/>
      <c r="P8" s="415"/>
      <c r="Q8" s="254"/>
      <c r="R8" s="256"/>
      <c r="S8" s="3"/>
      <c r="T8" s="3"/>
      <c r="U8" s="4"/>
      <c r="V8" s="6"/>
    </row>
    <row r="9" spans="1:22" ht="15.5" hidden="1" x14ac:dyDescent="0.3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5" x14ac:dyDescent="0.3"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5" customHeight="1" x14ac:dyDescent="0.3">
      <c r="A13" s="3487" t="s">
        <v>441</v>
      </c>
      <c r="B13" s="3487"/>
      <c r="C13" s="3487"/>
      <c r="D13" s="3487"/>
      <c r="E13" s="3487"/>
      <c r="F13" s="3487"/>
      <c r="G13" s="3487"/>
      <c r="H13" s="3487"/>
      <c r="I13" s="3487"/>
      <c r="J13" s="3487"/>
      <c r="K13" s="3487"/>
      <c r="L13" s="3487"/>
      <c r="M13" s="3487"/>
      <c r="N13" s="3487"/>
      <c r="O13" s="3487"/>
      <c r="P13" s="3487"/>
    </row>
    <row r="14" spans="1:22" ht="17.5" customHeight="1" x14ac:dyDescent="0.3">
      <c r="A14" s="3487" t="s">
        <v>440</v>
      </c>
      <c r="B14" s="3487"/>
      <c r="C14" s="3487"/>
      <c r="D14" s="3487"/>
      <c r="E14" s="3487"/>
      <c r="F14" s="3487"/>
      <c r="G14" s="3487"/>
      <c r="H14" s="3487"/>
      <c r="I14" s="3487"/>
      <c r="J14" s="3487"/>
      <c r="K14" s="3487"/>
      <c r="L14" s="3487"/>
      <c r="M14" s="3487"/>
      <c r="N14" s="3487"/>
      <c r="O14" s="3487"/>
      <c r="P14" s="3487"/>
      <c r="Q14" s="890">
        <v>2408.288</v>
      </c>
      <c r="R14" s="890">
        <v>4974.3450000000003</v>
      </c>
    </row>
    <row r="15" spans="1:22" ht="15" customHeight="1" x14ac:dyDescent="0.3">
      <c r="A15" s="3487" t="s">
        <v>439</v>
      </c>
      <c r="B15" s="3487"/>
      <c r="C15" s="3487"/>
      <c r="D15" s="3487"/>
      <c r="E15" s="3487"/>
      <c r="F15" s="3487"/>
      <c r="G15" s="3487"/>
      <c r="H15" s="3487"/>
      <c r="I15" s="3487"/>
      <c r="J15" s="3487"/>
      <c r="K15" s="3487"/>
      <c r="L15" s="3487"/>
      <c r="M15" s="3487"/>
      <c r="N15" s="3487"/>
      <c r="O15" s="3487"/>
      <c r="P15" s="3487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3487" t="s">
        <v>438</v>
      </c>
      <c r="B16" s="3487"/>
      <c r="C16" s="3487"/>
      <c r="D16" s="3487"/>
      <c r="E16" s="3487"/>
      <c r="F16" s="3487"/>
      <c r="G16" s="3487"/>
      <c r="H16" s="3487"/>
      <c r="I16" s="3487"/>
      <c r="J16" s="3487"/>
      <c r="K16" s="3487"/>
      <c r="L16" s="3487"/>
      <c r="M16" s="3487"/>
      <c r="N16" s="3487"/>
      <c r="O16" s="3487"/>
      <c r="P16" s="3487"/>
    </row>
    <row r="17" spans="1:24" ht="16.149999999999999" customHeight="1" x14ac:dyDescent="0.3">
      <c r="A17" s="3487" t="s">
        <v>898</v>
      </c>
      <c r="B17" s="3487"/>
      <c r="C17" s="3487"/>
      <c r="D17" s="3487"/>
      <c r="E17" s="3487"/>
      <c r="F17" s="3487"/>
      <c r="G17" s="3487"/>
      <c r="H17" s="3487"/>
      <c r="I17" s="3487"/>
      <c r="J17" s="3487"/>
      <c r="K17" s="3487"/>
      <c r="L17" s="3487"/>
      <c r="M17" s="3487"/>
      <c r="N17" s="3487"/>
      <c r="O17" s="3487"/>
      <c r="P17" s="3487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3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3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3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3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3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3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"/>
      <c r="O128" s="1"/>
      <c r="P128" s="237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3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2.5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5.5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5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3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2.5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52.5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" hidden="1" thickBot="1" x14ac:dyDescent="0.3"/>
    <row r="186" spans="1:17" ht="13" hidden="1" thickBot="1" x14ac:dyDescent="0.3"/>
    <row r="187" spans="1:17" ht="13" hidden="1" thickBot="1" x14ac:dyDescent="0.3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5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5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13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13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ht="13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hidden="1" x14ac:dyDescent="0.3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5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5" hidden="1" customHeight="1" x14ac:dyDescent="0.3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t="13" hidden="1" x14ac:dyDescent="0.3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 x14ac:dyDescent="0.3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 x14ac:dyDescent="0.3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 x14ac:dyDescent="0.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 x14ac:dyDescent="0.3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 x14ac:dyDescent="0.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 x14ac:dyDescent="0.3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 x14ac:dyDescent="0.3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 x14ac:dyDescent="0.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 x14ac:dyDescent="0.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3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 x14ac:dyDescent="0.3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5" customHeight="1" x14ac:dyDescent="0.3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 x14ac:dyDescent="0.3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3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3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3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3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3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3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3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3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 x14ac:dyDescent="0.3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t="13" hidden="1" x14ac:dyDescent="0.3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" hidden="1" x14ac:dyDescent="0.3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t="13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 x14ac:dyDescent="0.3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 x14ac:dyDescent="0.3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5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t="13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 x14ac:dyDescent="0.3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 x14ac:dyDescent="0.3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 x14ac:dyDescent="0.3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 x14ac:dyDescent="0.3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 x14ac:dyDescent="0.3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650000000000006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3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3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3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3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3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t="13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" hidden="1" x14ac:dyDescent="0.3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 x14ac:dyDescent="0.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3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3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3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3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39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ht="13" x14ac:dyDescent="0.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9" x14ac:dyDescent="0.3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ht="13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ht="13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ht="13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6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ht="13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t="13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t="13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ht="13" x14ac:dyDescent="0.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ht="13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 x14ac:dyDescent="0.3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 x14ac:dyDescent="0.3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 x14ac:dyDescent="0.3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 x14ac:dyDescent="0.3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 x14ac:dyDescent="0.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 x14ac:dyDescent="0.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 x14ac:dyDescent="0.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 x14ac:dyDescent="0.3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 x14ac:dyDescent="0.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 x14ac:dyDescent="0.3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 x14ac:dyDescent="0.3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 x14ac:dyDescent="0.3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ht="13" x14ac:dyDescent="0.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ht="13" x14ac:dyDescent="0.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t="13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t="13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t="13" hidden="1" x14ac:dyDescent="0.3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" hidden="1" x14ac:dyDescent="0.3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t="13" hidden="1" x14ac:dyDescent="0.3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 x14ac:dyDescent="0.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 x14ac:dyDescent="0.3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x14ac:dyDescent="0.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 x14ac:dyDescent="0.3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 x14ac:dyDescent="0.3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" x14ac:dyDescent="0.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 x14ac:dyDescent="0.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 x14ac:dyDescent="0.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 x14ac:dyDescent="0.3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" hidden="1" x14ac:dyDescent="0.3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" hidden="1" x14ac:dyDescent="0.3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477" t="s">
        <v>20</v>
      </c>
      <c r="H434" s="3478"/>
      <c r="I434" s="3478"/>
      <c r="J434" s="3479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5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477" t="s">
        <v>17</v>
      </c>
      <c r="H435" s="3478"/>
      <c r="I435" s="3478"/>
      <c r="J435" s="3479"/>
      <c r="K435" s="41"/>
      <c r="L435" s="2"/>
      <c r="M435" s="40"/>
      <c r="N435" s="2"/>
      <c r="O435" s="2"/>
      <c r="P435" s="433"/>
    </row>
    <row r="436" spans="1:29" ht="26" hidden="1" x14ac:dyDescent="0.3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t="13" hidden="1" x14ac:dyDescent="0.3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t="13" hidden="1" x14ac:dyDescent="0.3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t="13" hidden="1" x14ac:dyDescent="0.3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t="13" hidden="1" x14ac:dyDescent="0.3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t="13" hidden="1" x14ac:dyDescent="0.3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t="13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t="13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t="13" hidden="1" x14ac:dyDescent="0.3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6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6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 x14ac:dyDescent="0.3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hidden="1" customHeight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477" t="s">
        <v>20</v>
      </c>
      <c r="H460" s="3478"/>
      <c r="I460" s="3478"/>
      <c r="J460" s="3479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477" t="s">
        <v>17</v>
      </c>
      <c r="H461" s="3478"/>
      <c r="I461" s="3478"/>
      <c r="J461" s="3479"/>
      <c r="K461" s="41"/>
      <c r="L461" s="2"/>
      <c r="M461" s="40"/>
      <c r="N461" s="2"/>
      <c r="O461" s="2"/>
      <c r="P461" s="433"/>
    </row>
    <row r="462" spans="1:16" ht="16.899999999999999" hidden="1" customHeight="1" x14ac:dyDescent="0.3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 x14ac:dyDescent="0.3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3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3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3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3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 x14ac:dyDescent="0.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3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3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 x14ac:dyDescent="0.3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ht="13" x14ac:dyDescent="0.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ht="13" x14ac:dyDescent="0.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" x14ac:dyDescent="0.3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bestFit="1" customWidth="1"/>
    <col min="23" max="24" width="10.1796875" style="1" bestFit="1" customWidth="1"/>
    <col min="25" max="16384" width="9.1796875" style="1"/>
  </cols>
  <sheetData>
    <row r="1" spans="1:21" ht="15.5" x14ac:dyDescent="0.3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5" x14ac:dyDescent="0.3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5" x14ac:dyDescent="0.3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5" x14ac:dyDescent="0.3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5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5" x14ac:dyDescent="0.3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5" hidden="1" x14ac:dyDescent="0.3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5" hidden="1" x14ac:dyDescent="0.3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ht="13" x14ac:dyDescent="0.3">
      <c r="G11" s="392"/>
      <c r="H11" s="393"/>
      <c r="I11" s="394">
        <v>3685.4</v>
      </c>
      <c r="N11" s="393"/>
      <c r="U11" s="393"/>
    </row>
    <row r="12" spans="1:21" ht="15.5" x14ac:dyDescent="0.3">
      <c r="B12" s="3488"/>
      <c r="C12" s="3488"/>
      <c r="D12" s="3488"/>
      <c r="E12" s="3488"/>
      <c r="F12" s="3488"/>
      <c r="G12" s="3488"/>
      <c r="H12" s="3488"/>
      <c r="I12" s="395" t="e">
        <f>I10-I11-#REF!</f>
        <v>#REF!</v>
      </c>
      <c r="N12" s="1"/>
      <c r="U12" s="1"/>
    </row>
    <row r="13" spans="1:21" ht="15.65" customHeight="1" x14ac:dyDescent="0.25">
      <c r="A13" s="3489" t="s">
        <v>614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  <c r="M13" s="3489"/>
      <c r="N13" s="3489"/>
      <c r="O13" s="3489"/>
      <c r="P13" s="3489"/>
      <c r="Q13" s="3489"/>
      <c r="R13" s="3489"/>
      <c r="S13" s="3489"/>
      <c r="T13" s="3489"/>
      <c r="U13" s="3489"/>
    </row>
    <row r="14" spans="1:21" ht="15.65" customHeight="1" x14ac:dyDescent="0.25">
      <c r="A14" s="3489" t="s">
        <v>613</v>
      </c>
      <c r="B14" s="3489"/>
      <c r="C14" s="3489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</row>
    <row r="15" spans="1:21" ht="15" customHeight="1" x14ac:dyDescent="0.25">
      <c r="A15" s="3489" t="s">
        <v>968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3489"/>
      <c r="N15" s="3489"/>
      <c r="O15" s="3489"/>
      <c r="P15" s="3489"/>
      <c r="Q15" s="3489"/>
      <c r="R15" s="3489"/>
      <c r="S15" s="3489"/>
      <c r="T15" s="3489"/>
      <c r="U15" s="3489"/>
    </row>
    <row r="16" spans="1:21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1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1.5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1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6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customWidth="1"/>
    <col min="12" max="13" width="9.1796875" style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56" width="9.1796875" style="1"/>
    <col min="257" max="257" width="5.26953125" style="1" customWidth="1"/>
    <col min="258" max="258" width="62.453125" style="1" customWidth="1"/>
    <col min="259" max="259" width="10" style="1" customWidth="1"/>
    <col min="260" max="260" width="9.26953125" style="1" customWidth="1"/>
    <col min="261" max="261" width="10.453125" style="1" customWidth="1"/>
    <col min="262" max="262" width="11.54296875" style="1" customWidth="1"/>
    <col min="263" max="263" width="10.26953125" style="1" customWidth="1"/>
    <col min="264" max="264" width="14.7265625" style="1" customWidth="1"/>
    <col min="265" max="266" width="0" style="1" hidden="1" customWidth="1"/>
    <col min="267" max="269" width="9.1796875" style="1" customWidth="1"/>
    <col min="270" max="270" width="14.7265625" style="1" customWidth="1"/>
    <col min="271" max="276" width="0" style="1" hidden="1" customWidth="1"/>
    <col min="277" max="512" width="9.1796875" style="1"/>
    <col min="513" max="513" width="5.26953125" style="1" customWidth="1"/>
    <col min="514" max="514" width="62.453125" style="1" customWidth="1"/>
    <col min="515" max="515" width="10" style="1" customWidth="1"/>
    <col min="516" max="516" width="9.26953125" style="1" customWidth="1"/>
    <col min="517" max="517" width="10.453125" style="1" customWidth="1"/>
    <col min="518" max="518" width="11.54296875" style="1" customWidth="1"/>
    <col min="519" max="519" width="10.26953125" style="1" customWidth="1"/>
    <col min="520" max="520" width="14.7265625" style="1" customWidth="1"/>
    <col min="521" max="522" width="0" style="1" hidden="1" customWidth="1"/>
    <col min="523" max="525" width="9.1796875" style="1" customWidth="1"/>
    <col min="526" max="526" width="14.7265625" style="1" customWidth="1"/>
    <col min="527" max="532" width="0" style="1" hidden="1" customWidth="1"/>
    <col min="533" max="768" width="9.1796875" style="1"/>
    <col min="769" max="769" width="5.26953125" style="1" customWidth="1"/>
    <col min="770" max="770" width="62.453125" style="1" customWidth="1"/>
    <col min="771" max="771" width="10" style="1" customWidth="1"/>
    <col min="772" max="772" width="9.26953125" style="1" customWidth="1"/>
    <col min="773" max="773" width="10.453125" style="1" customWidth="1"/>
    <col min="774" max="774" width="11.54296875" style="1" customWidth="1"/>
    <col min="775" max="775" width="10.26953125" style="1" customWidth="1"/>
    <col min="776" max="776" width="14.7265625" style="1" customWidth="1"/>
    <col min="777" max="778" width="0" style="1" hidden="1" customWidth="1"/>
    <col min="779" max="781" width="9.1796875" style="1" customWidth="1"/>
    <col min="782" max="782" width="14.7265625" style="1" customWidth="1"/>
    <col min="783" max="788" width="0" style="1" hidden="1" customWidth="1"/>
    <col min="789" max="1024" width="9.1796875" style="1"/>
    <col min="1025" max="1025" width="5.26953125" style="1" customWidth="1"/>
    <col min="1026" max="1026" width="62.453125" style="1" customWidth="1"/>
    <col min="1027" max="1027" width="10" style="1" customWidth="1"/>
    <col min="1028" max="1028" width="9.26953125" style="1" customWidth="1"/>
    <col min="1029" max="1029" width="10.453125" style="1" customWidth="1"/>
    <col min="1030" max="1030" width="11.54296875" style="1" customWidth="1"/>
    <col min="1031" max="1031" width="10.26953125" style="1" customWidth="1"/>
    <col min="1032" max="1032" width="14.7265625" style="1" customWidth="1"/>
    <col min="1033" max="1034" width="0" style="1" hidden="1" customWidth="1"/>
    <col min="1035" max="1037" width="9.1796875" style="1" customWidth="1"/>
    <col min="1038" max="1038" width="14.7265625" style="1" customWidth="1"/>
    <col min="1039" max="1044" width="0" style="1" hidden="1" customWidth="1"/>
    <col min="1045" max="1280" width="9.1796875" style="1"/>
    <col min="1281" max="1281" width="5.26953125" style="1" customWidth="1"/>
    <col min="1282" max="1282" width="62.453125" style="1" customWidth="1"/>
    <col min="1283" max="1283" width="10" style="1" customWidth="1"/>
    <col min="1284" max="1284" width="9.26953125" style="1" customWidth="1"/>
    <col min="1285" max="1285" width="10.453125" style="1" customWidth="1"/>
    <col min="1286" max="1286" width="11.54296875" style="1" customWidth="1"/>
    <col min="1287" max="1287" width="10.26953125" style="1" customWidth="1"/>
    <col min="1288" max="1288" width="14.7265625" style="1" customWidth="1"/>
    <col min="1289" max="1290" width="0" style="1" hidden="1" customWidth="1"/>
    <col min="1291" max="1293" width="9.1796875" style="1" customWidth="1"/>
    <col min="1294" max="1294" width="14.7265625" style="1" customWidth="1"/>
    <col min="1295" max="1300" width="0" style="1" hidden="1" customWidth="1"/>
    <col min="1301" max="1536" width="9.1796875" style="1"/>
    <col min="1537" max="1537" width="5.26953125" style="1" customWidth="1"/>
    <col min="1538" max="1538" width="62.453125" style="1" customWidth="1"/>
    <col min="1539" max="1539" width="10" style="1" customWidth="1"/>
    <col min="1540" max="1540" width="9.26953125" style="1" customWidth="1"/>
    <col min="1541" max="1541" width="10.453125" style="1" customWidth="1"/>
    <col min="1542" max="1542" width="11.54296875" style="1" customWidth="1"/>
    <col min="1543" max="1543" width="10.26953125" style="1" customWidth="1"/>
    <col min="1544" max="1544" width="14.7265625" style="1" customWidth="1"/>
    <col min="1545" max="1546" width="0" style="1" hidden="1" customWidth="1"/>
    <col min="1547" max="1549" width="9.1796875" style="1" customWidth="1"/>
    <col min="1550" max="1550" width="14.7265625" style="1" customWidth="1"/>
    <col min="1551" max="1556" width="0" style="1" hidden="1" customWidth="1"/>
    <col min="1557" max="1792" width="9.1796875" style="1"/>
    <col min="1793" max="1793" width="5.26953125" style="1" customWidth="1"/>
    <col min="1794" max="1794" width="62.453125" style="1" customWidth="1"/>
    <col min="1795" max="1795" width="10" style="1" customWidth="1"/>
    <col min="1796" max="1796" width="9.26953125" style="1" customWidth="1"/>
    <col min="1797" max="1797" width="10.453125" style="1" customWidth="1"/>
    <col min="1798" max="1798" width="11.54296875" style="1" customWidth="1"/>
    <col min="1799" max="1799" width="10.26953125" style="1" customWidth="1"/>
    <col min="1800" max="1800" width="14.7265625" style="1" customWidth="1"/>
    <col min="1801" max="1802" width="0" style="1" hidden="1" customWidth="1"/>
    <col min="1803" max="1805" width="9.1796875" style="1" customWidth="1"/>
    <col min="1806" max="1806" width="14.7265625" style="1" customWidth="1"/>
    <col min="1807" max="1812" width="0" style="1" hidden="1" customWidth="1"/>
    <col min="1813" max="2048" width="9.1796875" style="1"/>
    <col min="2049" max="2049" width="5.26953125" style="1" customWidth="1"/>
    <col min="2050" max="2050" width="62.453125" style="1" customWidth="1"/>
    <col min="2051" max="2051" width="10" style="1" customWidth="1"/>
    <col min="2052" max="2052" width="9.26953125" style="1" customWidth="1"/>
    <col min="2053" max="2053" width="10.453125" style="1" customWidth="1"/>
    <col min="2054" max="2054" width="11.54296875" style="1" customWidth="1"/>
    <col min="2055" max="2055" width="10.26953125" style="1" customWidth="1"/>
    <col min="2056" max="2056" width="14.7265625" style="1" customWidth="1"/>
    <col min="2057" max="2058" width="0" style="1" hidden="1" customWidth="1"/>
    <col min="2059" max="2061" width="9.1796875" style="1" customWidth="1"/>
    <col min="2062" max="2062" width="14.7265625" style="1" customWidth="1"/>
    <col min="2063" max="2068" width="0" style="1" hidden="1" customWidth="1"/>
    <col min="2069" max="2304" width="9.1796875" style="1"/>
    <col min="2305" max="2305" width="5.26953125" style="1" customWidth="1"/>
    <col min="2306" max="2306" width="62.453125" style="1" customWidth="1"/>
    <col min="2307" max="2307" width="10" style="1" customWidth="1"/>
    <col min="2308" max="2308" width="9.26953125" style="1" customWidth="1"/>
    <col min="2309" max="2309" width="10.453125" style="1" customWidth="1"/>
    <col min="2310" max="2310" width="11.54296875" style="1" customWidth="1"/>
    <col min="2311" max="2311" width="10.26953125" style="1" customWidth="1"/>
    <col min="2312" max="2312" width="14.7265625" style="1" customWidth="1"/>
    <col min="2313" max="2314" width="0" style="1" hidden="1" customWidth="1"/>
    <col min="2315" max="2317" width="9.1796875" style="1" customWidth="1"/>
    <col min="2318" max="2318" width="14.7265625" style="1" customWidth="1"/>
    <col min="2319" max="2324" width="0" style="1" hidden="1" customWidth="1"/>
    <col min="2325" max="2560" width="9.1796875" style="1"/>
    <col min="2561" max="2561" width="5.26953125" style="1" customWidth="1"/>
    <col min="2562" max="2562" width="62.453125" style="1" customWidth="1"/>
    <col min="2563" max="2563" width="10" style="1" customWidth="1"/>
    <col min="2564" max="2564" width="9.26953125" style="1" customWidth="1"/>
    <col min="2565" max="2565" width="10.453125" style="1" customWidth="1"/>
    <col min="2566" max="2566" width="11.54296875" style="1" customWidth="1"/>
    <col min="2567" max="2567" width="10.26953125" style="1" customWidth="1"/>
    <col min="2568" max="2568" width="14.7265625" style="1" customWidth="1"/>
    <col min="2569" max="2570" width="0" style="1" hidden="1" customWidth="1"/>
    <col min="2571" max="2573" width="9.1796875" style="1" customWidth="1"/>
    <col min="2574" max="2574" width="14.7265625" style="1" customWidth="1"/>
    <col min="2575" max="2580" width="0" style="1" hidden="1" customWidth="1"/>
    <col min="2581" max="2816" width="9.1796875" style="1"/>
    <col min="2817" max="2817" width="5.26953125" style="1" customWidth="1"/>
    <col min="2818" max="2818" width="62.453125" style="1" customWidth="1"/>
    <col min="2819" max="2819" width="10" style="1" customWidth="1"/>
    <col min="2820" max="2820" width="9.26953125" style="1" customWidth="1"/>
    <col min="2821" max="2821" width="10.453125" style="1" customWidth="1"/>
    <col min="2822" max="2822" width="11.54296875" style="1" customWidth="1"/>
    <col min="2823" max="2823" width="10.26953125" style="1" customWidth="1"/>
    <col min="2824" max="2824" width="14.7265625" style="1" customWidth="1"/>
    <col min="2825" max="2826" width="0" style="1" hidden="1" customWidth="1"/>
    <col min="2827" max="2829" width="9.1796875" style="1" customWidth="1"/>
    <col min="2830" max="2830" width="14.7265625" style="1" customWidth="1"/>
    <col min="2831" max="2836" width="0" style="1" hidden="1" customWidth="1"/>
    <col min="2837" max="3072" width="9.1796875" style="1"/>
    <col min="3073" max="3073" width="5.26953125" style="1" customWidth="1"/>
    <col min="3074" max="3074" width="62.453125" style="1" customWidth="1"/>
    <col min="3075" max="3075" width="10" style="1" customWidth="1"/>
    <col min="3076" max="3076" width="9.26953125" style="1" customWidth="1"/>
    <col min="3077" max="3077" width="10.453125" style="1" customWidth="1"/>
    <col min="3078" max="3078" width="11.54296875" style="1" customWidth="1"/>
    <col min="3079" max="3079" width="10.26953125" style="1" customWidth="1"/>
    <col min="3080" max="3080" width="14.7265625" style="1" customWidth="1"/>
    <col min="3081" max="3082" width="0" style="1" hidden="1" customWidth="1"/>
    <col min="3083" max="3085" width="9.1796875" style="1" customWidth="1"/>
    <col min="3086" max="3086" width="14.7265625" style="1" customWidth="1"/>
    <col min="3087" max="3092" width="0" style="1" hidden="1" customWidth="1"/>
    <col min="3093" max="3328" width="9.1796875" style="1"/>
    <col min="3329" max="3329" width="5.26953125" style="1" customWidth="1"/>
    <col min="3330" max="3330" width="62.453125" style="1" customWidth="1"/>
    <col min="3331" max="3331" width="10" style="1" customWidth="1"/>
    <col min="3332" max="3332" width="9.26953125" style="1" customWidth="1"/>
    <col min="3333" max="3333" width="10.453125" style="1" customWidth="1"/>
    <col min="3334" max="3334" width="11.54296875" style="1" customWidth="1"/>
    <col min="3335" max="3335" width="10.26953125" style="1" customWidth="1"/>
    <col min="3336" max="3336" width="14.7265625" style="1" customWidth="1"/>
    <col min="3337" max="3338" width="0" style="1" hidden="1" customWidth="1"/>
    <col min="3339" max="3341" width="9.1796875" style="1" customWidth="1"/>
    <col min="3342" max="3342" width="14.7265625" style="1" customWidth="1"/>
    <col min="3343" max="3348" width="0" style="1" hidden="1" customWidth="1"/>
    <col min="3349" max="3584" width="9.1796875" style="1"/>
    <col min="3585" max="3585" width="5.26953125" style="1" customWidth="1"/>
    <col min="3586" max="3586" width="62.453125" style="1" customWidth="1"/>
    <col min="3587" max="3587" width="10" style="1" customWidth="1"/>
    <col min="3588" max="3588" width="9.26953125" style="1" customWidth="1"/>
    <col min="3589" max="3589" width="10.453125" style="1" customWidth="1"/>
    <col min="3590" max="3590" width="11.54296875" style="1" customWidth="1"/>
    <col min="3591" max="3591" width="10.26953125" style="1" customWidth="1"/>
    <col min="3592" max="3592" width="14.7265625" style="1" customWidth="1"/>
    <col min="3593" max="3594" width="0" style="1" hidden="1" customWidth="1"/>
    <col min="3595" max="3597" width="9.1796875" style="1" customWidth="1"/>
    <col min="3598" max="3598" width="14.7265625" style="1" customWidth="1"/>
    <col min="3599" max="3604" width="0" style="1" hidden="1" customWidth="1"/>
    <col min="3605" max="3840" width="9.1796875" style="1"/>
    <col min="3841" max="3841" width="5.26953125" style="1" customWidth="1"/>
    <col min="3842" max="3842" width="62.453125" style="1" customWidth="1"/>
    <col min="3843" max="3843" width="10" style="1" customWidth="1"/>
    <col min="3844" max="3844" width="9.26953125" style="1" customWidth="1"/>
    <col min="3845" max="3845" width="10.453125" style="1" customWidth="1"/>
    <col min="3846" max="3846" width="11.54296875" style="1" customWidth="1"/>
    <col min="3847" max="3847" width="10.26953125" style="1" customWidth="1"/>
    <col min="3848" max="3848" width="14.7265625" style="1" customWidth="1"/>
    <col min="3849" max="3850" width="0" style="1" hidden="1" customWidth="1"/>
    <col min="3851" max="3853" width="9.1796875" style="1" customWidth="1"/>
    <col min="3854" max="3854" width="14.7265625" style="1" customWidth="1"/>
    <col min="3855" max="3860" width="0" style="1" hidden="1" customWidth="1"/>
    <col min="3861" max="4096" width="9.1796875" style="1"/>
    <col min="4097" max="4097" width="5.26953125" style="1" customWidth="1"/>
    <col min="4098" max="4098" width="62.453125" style="1" customWidth="1"/>
    <col min="4099" max="4099" width="10" style="1" customWidth="1"/>
    <col min="4100" max="4100" width="9.26953125" style="1" customWidth="1"/>
    <col min="4101" max="4101" width="10.453125" style="1" customWidth="1"/>
    <col min="4102" max="4102" width="11.54296875" style="1" customWidth="1"/>
    <col min="4103" max="4103" width="10.26953125" style="1" customWidth="1"/>
    <col min="4104" max="4104" width="14.7265625" style="1" customWidth="1"/>
    <col min="4105" max="4106" width="0" style="1" hidden="1" customWidth="1"/>
    <col min="4107" max="4109" width="9.1796875" style="1" customWidth="1"/>
    <col min="4110" max="4110" width="14.7265625" style="1" customWidth="1"/>
    <col min="4111" max="4116" width="0" style="1" hidden="1" customWidth="1"/>
    <col min="4117" max="4352" width="9.1796875" style="1"/>
    <col min="4353" max="4353" width="5.26953125" style="1" customWidth="1"/>
    <col min="4354" max="4354" width="62.453125" style="1" customWidth="1"/>
    <col min="4355" max="4355" width="10" style="1" customWidth="1"/>
    <col min="4356" max="4356" width="9.26953125" style="1" customWidth="1"/>
    <col min="4357" max="4357" width="10.453125" style="1" customWidth="1"/>
    <col min="4358" max="4358" width="11.54296875" style="1" customWidth="1"/>
    <col min="4359" max="4359" width="10.26953125" style="1" customWidth="1"/>
    <col min="4360" max="4360" width="14.7265625" style="1" customWidth="1"/>
    <col min="4361" max="4362" width="0" style="1" hidden="1" customWidth="1"/>
    <col min="4363" max="4365" width="9.1796875" style="1" customWidth="1"/>
    <col min="4366" max="4366" width="14.7265625" style="1" customWidth="1"/>
    <col min="4367" max="4372" width="0" style="1" hidden="1" customWidth="1"/>
    <col min="4373" max="4608" width="9.1796875" style="1"/>
    <col min="4609" max="4609" width="5.26953125" style="1" customWidth="1"/>
    <col min="4610" max="4610" width="62.453125" style="1" customWidth="1"/>
    <col min="4611" max="4611" width="10" style="1" customWidth="1"/>
    <col min="4612" max="4612" width="9.26953125" style="1" customWidth="1"/>
    <col min="4613" max="4613" width="10.453125" style="1" customWidth="1"/>
    <col min="4614" max="4614" width="11.54296875" style="1" customWidth="1"/>
    <col min="4615" max="4615" width="10.26953125" style="1" customWidth="1"/>
    <col min="4616" max="4616" width="14.7265625" style="1" customWidth="1"/>
    <col min="4617" max="4618" width="0" style="1" hidden="1" customWidth="1"/>
    <col min="4619" max="4621" width="9.1796875" style="1" customWidth="1"/>
    <col min="4622" max="4622" width="14.7265625" style="1" customWidth="1"/>
    <col min="4623" max="4628" width="0" style="1" hidden="1" customWidth="1"/>
    <col min="4629" max="4864" width="9.1796875" style="1"/>
    <col min="4865" max="4865" width="5.26953125" style="1" customWidth="1"/>
    <col min="4866" max="4866" width="62.453125" style="1" customWidth="1"/>
    <col min="4867" max="4867" width="10" style="1" customWidth="1"/>
    <col min="4868" max="4868" width="9.26953125" style="1" customWidth="1"/>
    <col min="4869" max="4869" width="10.453125" style="1" customWidth="1"/>
    <col min="4870" max="4870" width="11.54296875" style="1" customWidth="1"/>
    <col min="4871" max="4871" width="10.26953125" style="1" customWidth="1"/>
    <col min="4872" max="4872" width="14.7265625" style="1" customWidth="1"/>
    <col min="4873" max="4874" width="0" style="1" hidden="1" customWidth="1"/>
    <col min="4875" max="4877" width="9.1796875" style="1" customWidth="1"/>
    <col min="4878" max="4878" width="14.7265625" style="1" customWidth="1"/>
    <col min="4879" max="4884" width="0" style="1" hidden="1" customWidth="1"/>
    <col min="4885" max="5120" width="9.1796875" style="1"/>
    <col min="5121" max="5121" width="5.26953125" style="1" customWidth="1"/>
    <col min="5122" max="5122" width="62.453125" style="1" customWidth="1"/>
    <col min="5123" max="5123" width="10" style="1" customWidth="1"/>
    <col min="5124" max="5124" width="9.26953125" style="1" customWidth="1"/>
    <col min="5125" max="5125" width="10.453125" style="1" customWidth="1"/>
    <col min="5126" max="5126" width="11.54296875" style="1" customWidth="1"/>
    <col min="5127" max="5127" width="10.26953125" style="1" customWidth="1"/>
    <col min="5128" max="5128" width="14.7265625" style="1" customWidth="1"/>
    <col min="5129" max="5130" width="0" style="1" hidden="1" customWidth="1"/>
    <col min="5131" max="5133" width="9.1796875" style="1" customWidth="1"/>
    <col min="5134" max="5134" width="14.7265625" style="1" customWidth="1"/>
    <col min="5135" max="5140" width="0" style="1" hidden="1" customWidth="1"/>
    <col min="5141" max="5376" width="9.1796875" style="1"/>
    <col min="5377" max="5377" width="5.26953125" style="1" customWidth="1"/>
    <col min="5378" max="5378" width="62.453125" style="1" customWidth="1"/>
    <col min="5379" max="5379" width="10" style="1" customWidth="1"/>
    <col min="5380" max="5380" width="9.26953125" style="1" customWidth="1"/>
    <col min="5381" max="5381" width="10.453125" style="1" customWidth="1"/>
    <col min="5382" max="5382" width="11.54296875" style="1" customWidth="1"/>
    <col min="5383" max="5383" width="10.26953125" style="1" customWidth="1"/>
    <col min="5384" max="5384" width="14.7265625" style="1" customWidth="1"/>
    <col min="5385" max="5386" width="0" style="1" hidden="1" customWidth="1"/>
    <col min="5387" max="5389" width="9.1796875" style="1" customWidth="1"/>
    <col min="5390" max="5390" width="14.7265625" style="1" customWidth="1"/>
    <col min="5391" max="5396" width="0" style="1" hidden="1" customWidth="1"/>
    <col min="5397" max="5632" width="9.1796875" style="1"/>
    <col min="5633" max="5633" width="5.26953125" style="1" customWidth="1"/>
    <col min="5634" max="5634" width="62.453125" style="1" customWidth="1"/>
    <col min="5635" max="5635" width="10" style="1" customWidth="1"/>
    <col min="5636" max="5636" width="9.26953125" style="1" customWidth="1"/>
    <col min="5637" max="5637" width="10.453125" style="1" customWidth="1"/>
    <col min="5638" max="5638" width="11.54296875" style="1" customWidth="1"/>
    <col min="5639" max="5639" width="10.26953125" style="1" customWidth="1"/>
    <col min="5640" max="5640" width="14.7265625" style="1" customWidth="1"/>
    <col min="5641" max="5642" width="0" style="1" hidden="1" customWidth="1"/>
    <col min="5643" max="5645" width="9.1796875" style="1" customWidth="1"/>
    <col min="5646" max="5646" width="14.7265625" style="1" customWidth="1"/>
    <col min="5647" max="5652" width="0" style="1" hidden="1" customWidth="1"/>
    <col min="5653" max="5888" width="9.1796875" style="1"/>
    <col min="5889" max="5889" width="5.26953125" style="1" customWidth="1"/>
    <col min="5890" max="5890" width="62.453125" style="1" customWidth="1"/>
    <col min="5891" max="5891" width="10" style="1" customWidth="1"/>
    <col min="5892" max="5892" width="9.26953125" style="1" customWidth="1"/>
    <col min="5893" max="5893" width="10.453125" style="1" customWidth="1"/>
    <col min="5894" max="5894" width="11.54296875" style="1" customWidth="1"/>
    <col min="5895" max="5895" width="10.26953125" style="1" customWidth="1"/>
    <col min="5896" max="5896" width="14.7265625" style="1" customWidth="1"/>
    <col min="5897" max="5898" width="0" style="1" hidden="1" customWidth="1"/>
    <col min="5899" max="5901" width="9.1796875" style="1" customWidth="1"/>
    <col min="5902" max="5902" width="14.7265625" style="1" customWidth="1"/>
    <col min="5903" max="5908" width="0" style="1" hidden="1" customWidth="1"/>
    <col min="5909" max="6144" width="9.1796875" style="1"/>
    <col min="6145" max="6145" width="5.26953125" style="1" customWidth="1"/>
    <col min="6146" max="6146" width="62.453125" style="1" customWidth="1"/>
    <col min="6147" max="6147" width="10" style="1" customWidth="1"/>
    <col min="6148" max="6148" width="9.26953125" style="1" customWidth="1"/>
    <col min="6149" max="6149" width="10.453125" style="1" customWidth="1"/>
    <col min="6150" max="6150" width="11.54296875" style="1" customWidth="1"/>
    <col min="6151" max="6151" width="10.26953125" style="1" customWidth="1"/>
    <col min="6152" max="6152" width="14.7265625" style="1" customWidth="1"/>
    <col min="6153" max="6154" width="0" style="1" hidden="1" customWidth="1"/>
    <col min="6155" max="6157" width="9.1796875" style="1" customWidth="1"/>
    <col min="6158" max="6158" width="14.7265625" style="1" customWidth="1"/>
    <col min="6159" max="6164" width="0" style="1" hidden="1" customWidth="1"/>
    <col min="6165" max="6400" width="9.1796875" style="1"/>
    <col min="6401" max="6401" width="5.26953125" style="1" customWidth="1"/>
    <col min="6402" max="6402" width="62.453125" style="1" customWidth="1"/>
    <col min="6403" max="6403" width="10" style="1" customWidth="1"/>
    <col min="6404" max="6404" width="9.26953125" style="1" customWidth="1"/>
    <col min="6405" max="6405" width="10.453125" style="1" customWidth="1"/>
    <col min="6406" max="6406" width="11.54296875" style="1" customWidth="1"/>
    <col min="6407" max="6407" width="10.26953125" style="1" customWidth="1"/>
    <col min="6408" max="6408" width="14.7265625" style="1" customWidth="1"/>
    <col min="6409" max="6410" width="0" style="1" hidden="1" customWidth="1"/>
    <col min="6411" max="6413" width="9.1796875" style="1" customWidth="1"/>
    <col min="6414" max="6414" width="14.7265625" style="1" customWidth="1"/>
    <col min="6415" max="6420" width="0" style="1" hidden="1" customWidth="1"/>
    <col min="6421" max="6656" width="9.1796875" style="1"/>
    <col min="6657" max="6657" width="5.26953125" style="1" customWidth="1"/>
    <col min="6658" max="6658" width="62.453125" style="1" customWidth="1"/>
    <col min="6659" max="6659" width="10" style="1" customWidth="1"/>
    <col min="6660" max="6660" width="9.26953125" style="1" customWidth="1"/>
    <col min="6661" max="6661" width="10.453125" style="1" customWidth="1"/>
    <col min="6662" max="6662" width="11.54296875" style="1" customWidth="1"/>
    <col min="6663" max="6663" width="10.26953125" style="1" customWidth="1"/>
    <col min="6664" max="6664" width="14.7265625" style="1" customWidth="1"/>
    <col min="6665" max="6666" width="0" style="1" hidden="1" customWidth="1"/>
    <col min="6667" max="6669" width="9.1796875" style="1" customWidth="1"/>
    <col min="6670" max="6670" width="14.7265625" style="1" customWidth="1"/>
    <col min="6671" max="6676" width="0" style="1" hidden="1" customWidth="1"/>
    <col min="6677" max="6912" width="9.1796875" style="1"/>
    <col min="6913" max="6913" width="5.26953125" style="1" customWidth="1"/>
    <col min="6914" max="6914" width="62.453125" style="1" customWidth="1"/>
    <col min="6915" max="6915" width="10" style="1" customWidth="1"/>
    <col min="6916" max="6916" width="9.26953125" style="1" customWidth="1"/>
    <col min="6917" max="6917" width="10.453125" style="1" customWidth="1"/>
    <col min="6918" max="6918" width="11.54296875" style="1" customWidth="1"/>
    <col min="6919" max="6919" width="10.26953125" style="1" customWidth="1"/>
    <col min="6920" max="6920" width="14.7265625" style="1" customWidth="1"/>
    <col min="6921" max="6922" width="0" style="1" hidden="1" customWidth="1"/>
    <col min="6923" max="6925" width="9.1796875" style="1" customWidth="1"/>
    <col min="6926" max="6926" width="14.7265625" style="1" customWidth="1"/>
    <col min="6927" max="6932" width="0" style="1" hidden="1" customWidth="1"/>
    <col min="6933" max="7168" width="9.1796875" style="1"/>
    <col min="7169" max="7169" width="5.26953125" style="1" customWidth="1"/>
    <col min="7170" max="7170" width="62.453125" style="1" customWidth="1"/>
    <col min="7171" max="7171" width="10" style="1" customWidth="1"/>
    <col min="7172" max="7172" width="9.26953125" style="1" customWidth="1"/>
    <col min="7173" max="7173" width="10.453125" style="1" customWidth="1"/>
    <col min="7174" max="7174" width="11.54296875" style="1" customWidth="1"/>
    <col min="7175" max="7175" width="10.26953125" style="1" customWidth="1"/>
    <col min="7176" max="7176" width="14.7265625" style="1" customWidth="1"/>
    <col min="7177" max="7178" width="0" style="1" hidden="1" customWidth="1"/>
    <col min="7179" max="7181" width="9.1796875" style="1" customWidth="1"/>
    <col min="7182" max="7182" width="14.7265625" style="1" customWidth="1"/>
    <col min="7183" max="7188" width="0" style="1" hidden="1" customWidth="1"/>
    <col min="7189" max="7424" width="9.1796875" style="1"/>
    <col min="7425" max="7425" width="5.26953125" style="1" customWidth="1"/>
    <col min="7426" max="7426" width="62.453125" style="1" customWidth="1"/>
    <col min="7427" max="7427" width="10" style="1" customWidth="1"/>
    <col min="7428" max="7428" width="9.26953125" style="1" customWidth="1"/>
    <col min="7429" max="7429" width="10.453125" style="1" customWidth="1"/>
    <col min="7430" max="7430" width="11.54296875" style="1" customWidth="1"/>
    <col min="7431" max="7431" width="10.26953125" style="1" customWidth="1"/>
    <col min="7432" max="7432" width="14.7265625" style="1" customWidth="1"/>
    <col min="7433" max="7434" width="0" style="1" hidden="1" customWidth="1"/>
    <col min="7435" max="7437" width="9.1796875" style="1" customWidth="1"/>
    <col min="7438" max="7438" width="14.7265625" style="1" customWidth="1"/>
    <col min="7439" max="7444" width="0" style="1" hidden="1" customWidth="1"/>
    <col min="7445" max="7680" width="9.1796875" style="1"/>
    <col min="7681" max="7681" width="5.26953125" style="1" customWidth="1"/>
    <col min="7682" max="7682" width="62.453125" style="1" customWidth="1"/>
    <col min="7683" max="7683" width="10" style="1" customWidth="1"/>
    <col min="7684" max="7684" width="9.26953125" style="1" customWidth="1"/>
    <col min="7685" max="7685" width="10.453125" style="1" customWidth="1"/>
    <col min="7686" max="7686" width="11.54296875" style="1" customWidth="1"/>
    <col min="7687" max="7687" width="10.26953125" style="1" customWidth="1"/>
    <col min="7688" max="7688" width="14.7265625" style="1" customWidth="1"/>
    <col min="7689" max="7690" width="0" style="1" hidden="1" customWidth="1"/>
    <col min="7691" max="7693" width="9.1796875" style="1" customWidth="1"/>
    <col min="7694" max="7694" width="14.7265625" style="1" customWidth="1"/>
    <col min="7695" max="7700" width="0" style="1" hidden="1" customWidth="1"/>
    <col min="7701" max="7936" width="9.1796875" style="1"/>
    <col min="7937" max="7937" width="5.26953125" style="1" customWidth="1"/>
    <col min="7938" max="7938" width="62.453125" style="1" customWidth="1"/>
    <col min="7939" max="7939" width="10" style="1" customWidth="1"/>
    <col min="7940" max="7940" width="9.26953125" style="1" customWidth="1"/>
    <col min="7941" max="7941" width="10.453125" style="1" customWidth="1"/>
    <col min="7942" max="7942" width="11.54296875" style="1" customWidth="1"/>
    <col min="7943" max="7943" width="10.26953125" style="1" customWidth="1"/>
    <col min="7944" max="7944" width="14.7265625" style="1" customWidth="1"/>
    <col min="7945" max="7946" width="0" style="1" hidden="1" customWidth="1"/>
    <col min="7947" max="7949" width="9.1796875" style="1" customWidth="1"/>
    <col min="7950" max="7950" width="14.7265625" style="1" customWidth="1"/>
    <col min="7951" max="7956" width="0" style="1" hidden="1" customWidth="1"/>
    <col min="7957" max="8192" width="9.1796875" style="1"/>
    <col min="8193" max="8193" width="5.26953125" style="1" customWidth="1"/>
    <col min="8194" max="8194" width="62.453125" style="1" customWidth="1"/>
    <col min="8195" max="8195" width="10" style="1" customWidth="1"/>
    <col min="8196" max="8196" width="9.26953125" style="1" customWidth="1"/>
    <col min="8197" max="8197" width="10.453125" style="1" customWidth="1"/>
    <col min="8198" max="8198" width="11.54296875" style="1" customWidth="1"/>
    <col min="8199" max="8199" width="10.26953125" style="1" customWidth="1"/>
    <col min="8200" max="8200" width="14.7265625" style="1" customWidth="1"/>
    <col min="8201" max="8202" width="0" style="1" hidden="1" customWidth="1"/>
    <col min="8203" max="8205" width="9.1796875" style="1" customWidth="1"/>
    <col min="8206" max="8206" width="14.7265625" style="1" customWidth="1"/>
    <col min="8207" max="8212" width="0" style="1" hidden="1" customWidth="1"/>
    <col min="8213" max="8448" width="9.1796875" style="1"/>
    <col min="8449" max="8449" width="5.26953125" style="1" customWidth="1"/>
    <col min="8450" max="8450" width="62.453125" style="1" customWidth="1"/>
    <col min="8451" max="8451" width="10" style="1" customWidth="1"/>
    <col min="8452" max="8452" width="9.26953125" style="1" customWidth="1"/>
    <col min="8453" max="8453" width="10.453125" style="1" customWidth="1"/>
    <col min="8454" max="8454" width="11.54296875" style="1" customWidth="1"/>
    <col min="8455" max="8455" width="10.26953125" style="1" customWidth="1"/>
    <col min="8456" max="8456" width="14.7265625" style="1" customWidth="1"/>
    <col min="8457" max="8458" width="0" style="1" hidden="1" customWidth="1"/>
    <col min="8459" max="8461" width="9.1796875" style="1" customWidth="1"/>
    <col min="8462" max="8462" width="14.7265625" style="1" customWidth="1"/>
    <col min="8463" max="8468" width="0" style="1" hidden="1" customWidth="1"/>
    <col min="8469" max="8704" width="9.1796875" style="1"/>
    <col min="8705" max="8705" width="5.26953125" style="1" customWidth="1"/>
    <col min="8706" max="8706" width="62.453125" style="1" customWidth="1"/>
    <col min="8707" max="8707" width="10" style="1" customWidth="1"/>
    <col min="8708" max="8708" width="9.26953125" style="1" customWidth="1"/>
    <col min="8709" max="8709" width="10.453125" style="1" customWidth="1"/>
    <col min="8710" max="8710" width="11.54296875" style="1" customWidth="1"/>
    <col min="8711" max="8711" width="10.26953125" style="1" customWidth="1"/>
    <col min="8712" max="8712" width="14.7265625" style="1" customWidth="1"/>
    <col min="8713" max="8714" width="0" style="1" hidden="1" customWidth="1"/>
    <col min="8715" max="8717" width="9.1796875" style="1" customWidth="1"/>
    <col min="8718" max="8718" width="14.7265625" style="1" customWidth="1"/>
    <col min="8719" max="8724" width="0" style="1" hidden="1" customWidth="1"/>
    <col min="8725" max="8960" width="9.1796875" style="1"/>
    <col min="8961" max="8961" width="5.26953125" style="1" customWidth="1"/>
    <col min="8962" max="8962" width="62.453125" style="1" customWidth="1"/>
    <col min="8963" max="8963" width="10" style="1" customWidth="1"/>
    <col min="8964" max="8964" width="9.26953125" style="1" customWidth="1"/>
    <col min="8965" max="8965" width="10.453125" style="1" customWidth="1"/>
    <col min="8966" max="8966" width="11.54296875" style="1" customWidth="1"/>
    <col min="8967" max="8967" width="10.26953125" style="1" customWidth="1"/>
    <col min="8968" max="8968" width="14.7265625" style="1" customWidth="1"/>
    <col min="8969" max="8970" width="0" style="1" hidden="1" customWidth="1"/>
    <col min="8971" max="8973" width="9.1796875" style="1" customWidth="1"/>
    <col min="8974" max="8974" width="14.7265625" style="1" customWidth="1"/>
    <col min="8975" max="8980" width="0" style="1" hidden="1" customWidth="1"/>
    <col min="8981" max="9216" width="9.1796875" style="1"/>
    <col min="9217" max="9217" width="5.26953125" style="1" customWidth="1"/>
    <col min="9218" max="9218" width="62.453125" style="1" customWidth="1"/>
    <col min="9219" max="9219" width="10" style="1" customWidth="1"/>
    <col min="9220" max="9220" width="9.26953125" style="1" customWidth="1"/>
    <col min="9221" max="9221" width="10.453125" style="1" customWidth="1"/>
    <col min="9222" max="9222" width="11.54296875" style="1" customWidth="1"/>
    <col min="9223" max="9223" width="10.26953125" style="1" customWidth="1"/>
    <col min="9224" max="9224" width="14.7265625" style="1" customWidth="1"/>
    <col min="9225" max="9226" width="0" style="1" hidden="1" customWidth="1"/>
    <col min="9227" max="9229" width="9.1796875" style="1" customWidth="1"/>
    <col min="9230" max="9230" width="14.7265625" style="1" customWidth="1"/>
    <col min="9231" max="9236" width="0" style="1" hidden="1" customWidth="1"/>
    <col min="9237" max="9472" width="9.1796875" style="1"/>
    <col min="9473" max="9473" width="5.26953125" style="1" customWidth="1"/>
    <col min="9474" max="9474" width="62.453125" style="1" customWidth="1"/>
    <col min="9475" max="9475" width="10" style="1" customWidth="1"/>
    <col min="9476" max="9476" width="9.26953125" style="1" customWidth="1"/>
    <col min="9477" max="9477" width="10.453125" style="1" customWidth="1"/>
    <col min="9478" max="9478" width="11.54296875" style="1" customWidth="1"/>
    <col min="9479" max="9479" width="10.26953125" style="1" customWidth="1"/>
    <col min="9480" max="9480" width="14.7265625" style="1" customWidth="1"/>
    <col min="9481" max="9482" width="0" style="1" hidden="1" customWidth="1"/>
    <col min="9483" max="9485" width="9.1796875" style="1" customWidth="1"/>
    <col min="9486" max="9486" width="14.7265625" style="1" customWidth="1"/>
    <col min="9487" max="9492" width="0" style="1" hidden="1" customWidth="1"/>
    <col min="9493" max="9728" width="9.1796875" style="1"/>
    <col min="9729" max="9729" width="5.26953125" style="1" customWidth="1"/>
    <col min="9730" max="9730" width="62.453125" style="1" customWidth="1"/>
    <col min="9731" max="9731" width="10" style="1" customWidth="1"/>
    <col min="9732" max="9732" width="9.26953125" style="1" customWidth="1"/>
    <col min="9733" max="9733" width="10.453125" style="1" customWidth="1"/>
    <col min="9734" max="9734" width="11.54296875" style="1" customWidth="1"/>
    <col min="9735" max="9735" width="10.26953125" style="1" customWidth="1"/>
    <col min="9736" max="9736" width="14.7265625" style="1" customWidth="1"/>
    <col min="9737" max="9738" width="0" style="1" hidden="1" customWidth="1"/>
    <col min="9739" max="9741" width="9.1796875" style="1" customWidth="1"/>
    <col min="9742" max="9742" width="14.7265625" style="1" customWidth="1"/>
    <col min="9743" max="9748" width="0" style="1" hidden="1" customWidth="1"/>
    <col min="9749" max="9984" width="9.1796875" style="1"/>
    <col min="9985" max="9985" width="5.26953125" style="1" customWidth="1"/>
    <col min="9986" max="9986" width="62.453125" style="1" customWidth="1"/>
    <col min="9987" max="9987" width="10" style="1" customWidth="1"/>
    <col min="9988" max="9988" width="9.26953125" style="1" customWidth="1"/>
    <col min="9989" max="9989" width="10.453125" style="1" customWidth="1"/>
    <col min="9990" max="9990" width="11.54296875" style="1" customWidth="1"/>
    <col min="9991" max="9991" width="10.26953125" style="1" customWidth="1"/>
    <col min="9992" max="9992" width="14.7265625" style="1" customWidth="1"/>
    <col min="9993" max="9994" width="0" style="1" hidden="1" customWidth="1"/>
    <col min="9995" max="9997" width="9.1796875" style="1" customWidth="1"/>
    <col min="9998" max="9998" width="14.7265625" style="1" customWidth="1"/>
    <col min="9999" max="10004" width="0" style="1" hidden="1" customWidth="1"/>
    <col min="10005" max="10240" width="9.1796875" style="1"/>
    <col min="10241" max="10241" width="5.26953125" style="1" customWidth="1"/>
    <col min="10242" max="10242" width="62.453125" style="1" customWidth="1"/>
    <col min="10243" max="10243" width="10" style="1" customWidth="1"/>
    <col min="10244" max="10244" width="9.26953125" style="1" customWidth="1"/>
    <col min="10245" max="10245" width="10.453125" style="1" customWidth="1"/>
    <col min="10246" max="10246" width="11.54296875" style="1" customWidth="1"/>
    <col min="10247" max="10247" width="10.26953125" style="1" customWidth="1"/>
    <col min="10248" max="10248" width="14.7265625" style="1" customWidth="1"/>
    <col min="10249" max="10250" width="0" style="1" hidden="1" customWidth="1"/>
    <col min="10251" max="10253" width="9.1796875" style="1" customWidth="1"/>
    <col min="10254" max="10254" width="14.7265625" style="1" customWidth="1"/>
    <col min="10255" max="10260" width="0" style="1" hidden="1" customWidth="1"/>
    <col min="10261" max="10496" width="9.1796875" style="1"/>
    <col min="10497" max="10497" width="5.26953125" style="1" customWidth="1"/>
    <col min="10498" max="10498" width="62.453125" style="1" customWidth="1"/>
    <col min="10499" max="10499" width="10" style="1" customWidth="1"/>
    <col min="10500" max="10500" width="9.26953125" style="1" customWidth="1"/>
    <col min="10501" max="10501" width="10.453125" style="1" customWidth="1"/>
    <col min="10502" max="10502" width="11.54296875" style="1" customWidth="1"/>
    <col min="10503" max="10503" width="10.26953125" style="1" customWidth="1"/>
    <col min="10504" max="10504" width="14.7265625" style="1" customWidth="1"/>
    <col min="10505" max="10506" width="0" style="1" hidden="1" customWidth="1"/>
    <col min="10507" max="10509" width="9.1796875" style="1" customWidth="1"/>
    <col min="10510" max="10510" width="14.7265625" style="1" customWidth="1"/>
    <col min="10511" max="10516" width="0" style="1" hidden="1" customWidth="1"/>
    <col min="10517" max="10752" width="9.1796875" style="1"/>
    <col min="10753" max="10753" width="5.26953125" style="1" customWidth="1"/>
    <col min="10754" max="10754" width="62.453125" style="1" customWidth="1"/>
    <col min="10755" max="10755" width="10" style="1" customWidth="1"/>
    <col min="10756" max="10756" width="9.26953125" style="1" customWidth="1"/>
    <col min="10757" max="10757" width="10.453125" style="1" customWidth="1"/>
    <col min="10758" max="10758" width="11.54296875" style="1" customWidth="1"/>
    <col min="10759" max="10759" width="10.26953125" style="1" customWidth="1"/>
    <col min="10760" max="10760" width="14.7265625" style="1" customWidth="1"/>
    <col min="10761" max="10762" width="0" style="1" hidden="1" customWidth="1"/>
    <col min="10763" max="10765" width="9.1796875" style="1" customWidth="1"/>
    <col min="10766" max="10766" width="14.7265625" style="1" customWidth="1"/>
    <col min="10767" max="10772" width="0" style="1" hidden="1" customWidth="1"/>
    <col min="10773" max="11008" width="9.1796875" style="1"/>
    <col min="11009" max="11009" width="5.26953125" style="1" customWidth="1"/>
    <col min="11010" max="11010" width="62.453125" style="1" customWidth="1"/>
    <col min="11011" max="11011" width="10" style="1" customWidth="1"/>
    <col min="11012" max="11012" width="9.26953125" style="1" customWidth="1"/>
    <col min="11013" max="11013" width="10.453125" style="1" customWidth="1"/>
    <col min="11014" max="11014" width="11.54296875" style="1" customWidth="1"/>
    <col min="11015" max="11015" width="10.26953125" style="1" customWidth="1"/>
    <col min="11016" max="11016" width="14.7265625" style="1" customWidth="1"/>
    <col min="11017" max="11018" width="0" style="1" hidden="1" customWidth="1"/>
    <col min="11019" max="11021" width="9.1796875" style="1" customWidth="1"/>
    <col min="11022" max="11022" width="14.7265625" style="1" customWidth="1"/>
    <col min="11023" max="11028" width="0" style="1" hidden="1" customWidth="1"/>
    <col min="11029" max="11264" width="9.1796875" style="1"/>
    <col min="11265" max="11265" width="5.26953125" style="1" customWidth="1"/>
    <col min="11266" max="11266" width="62.453125" style="1" customWidth="1"/>
    <col min="11267" max="11267" width="10" style="1" customWidth="1"/>
    <col min="11268" max="11268" width="9.26953125" style="1" customWidth="1"/>
    <col min="11269" max="11269" width="10.453125" style="1" customWidth="1"/>
    <col min="11270" max="11270" width="11.54296875" style="1" customWidth="1"/>
    <col min="11271" max="11271" width="10.26953125" style="1" customWidth="1"/>
    <col min="11272" max="11272" width="14.7265625" style="1" customWidth="1"/>
    <col min="11273" max="11274" width="0" style="1" hidden="1" customWidth="1"/>
    <col min="11275" max="11277" width="9.1796875" style="1" customWidth="1"/>
    <col min="11278" max="11278" width="14.7265625" style="1" customWidth="1"/>
    <col min="11279" max="11284" width="0" style="1" hidden="1" customWidth="1"/>
    <col min="11285" max="11520" width="9.1796875" style="1"/>
    <col min="11521" max="11521" width="5.26953125" style="1" customWidth="1"/>
    <col min="11522" max="11522" width="62.453125" style="1" customWidth="1"/>
    <col min="11523" max="11523" width="10" style="1" customWidth="1"/>
    <col min="11524" max="11524" width="9.26953125" style="1" customWidth="1"/>
    <col min="11525" max="11525" width="10.453125" style="1" customWidth="1"/>
    <col min="11526" max="11526" width="11.54296875" style="1" customWidth="1"/>
    <col min="11527" max="11527" width="10.26953125" style="1" customWidth="1"/>
    <col min="11528" max="11528" width="14.7265625" style="1" customWidth="1"/>
    <col min="11529" max="11530" width="0" style="1" hidden="1" customWidth="1"/>
    <col min="11531" max="11533" width="9.1796875" style="1" customWidth="1"/>
    <col min="11534" max="11534" width="14.7265625" style="1" customWidth="1"/>
    <col min="11535" max="11540" width="0" style="1" hidden="1" customWidth="1"/>
    <col min="11541" max="11776" width="9.1796875" style="1"/>
    <col min="11777" max="11777" width="5.26953125" style="1" customWidth="1"/>
    <col min="11778" max="11778" width="62.453125" style="1" customWidth="1"/>
    <col min="11779" max="11779" width="10" style="1" customWidth="1"/>
    <col min="11780" max="11780" width="9.26953125" style="1" customWidth="1"/>
    <col min="11781" max="11781" width="10.453125" style="1" customWidth="1"/>
    <col min="11782" max="11782" width="11.54296875" style="1" customWidth="1"/>
    <col min="11783" max="11783" width="10.26953125" style="1" customWidth="1"/>
    <col min="11784" max="11784" width="14.7265625" style="1" customWidth="1"/>
    <col min="11785" max="11786" width="0" style="1" hidden="1" customWidth="1"/>
    <col min="11787" max="11789" width="9.1796875" style="1" customWidth="1"/>
    <col min="11790" max="11790" width="14.7265625" style="1" customWidth="1"/>
    <col min="11791" max="11796" width="0" style="1" hidden="1" customWidth="1"/>
    <col min="11797" max="12032" width="9.1796875" style="1"/>
    <col min="12033" max="12033" width="5.26953125" style="1" customWidth="1"/>
    <col min="12034" max="12034" width="62.453125" style="1" customWidth="1"/>
    <col min="12035" max="12035" width="10" style="1" customWidth="1"/>
    <col min="12036" max="12036" width="9.26953125" style="1" customWidth="1"/>
    <col min="12037" max="12037" width="10.453125" style="1" customWidth="1"/>
    <col min="12038" max="12038" width="11.54296875" style="1" customWidth="1"/>
    <col min="12039" max="12039" width="10.26953125" style="1" customWidth="1"/>
    <col min="12040" max="12040" width="14.7265625" style="1" customWidth="1"/>
    <col min="12041" max="12042" width="0" style="1" hidden="1" customWidth="1"/>
    <col min="12043" max="12045" width="9.1796875" style="1" customWidth="1"/>
    <col min="12046" max="12046" width="14.7265625" style="1" customWidth="1"/>
    <col min="12047" max="12052" width="0" style="1" hidden="1" customWidth="1"/>
    <col min="12053" max="12288" width="9.1796875" style="1"/>
    <col min="12289" max="12289" width="5.26953125" style="1" customWidth="1"/>
    <col min="12290" max="12290" width="62.453125" style="1" customWidth="1"/>
    <col min="12291" max="12291" width="10" style="1" customWidth="1"/>
    <col min="12292" max="12292" width="9.26953125" style="1" customWidth="1"/>
    <col min="12293" max="12293" width="10.453125" style="1" customWidth="1"/>
    <col min="12294" max="12294" width="11.54296875" style="1" customWidth="1"/>
    <col min="12295" max="12295" width="10.26953125" style="1" customWidth="1"/>
    <col min="12296" max="12296" width="14.7265625" style="1" customWidth="1"/>
    <col min="12297" max="12298" width="0" style="1" hidden="1" customWidth="1"/>
    <col min="12299" max="12301" width="9.1796875" style="1" customWidth="1"/>
    <col min="12302" max="12302" width="14.7265625" style="1" customWidth="1"/>
    <col min="12303" max="12308" width="0" style="1" hidden="1" customWidth="1"/>
    <col min="12309" max="12544" width="9.1796875" style="1"/>
    <col min="12545" max="12545" width="5.26953125" style="1" customWidth="1"/>
    <col min="12546" max="12546" width="62.453125" style="1" customWidth="1"/>
    <col min="12547" max="12547" width="10" style="1" customWidth="1"/>
    <col min="12548" max="12548" width="9.26953125" style="1" customWidth="1"/>
    <col min="12549" max="12549" width="10.453125" style="1" customWidth="1"/>
    <col min="12550" max="12550" width="11.54296875" style="1" customWidth="1"/>
    <col min="12551" max="12551" width="10.26953125" style="1" customWidth="1"/>
    <col min="12552" max="12552" width="14.7265625" style="1" customWidth="1"/>
    <col min="12553" max="12554" width="0" style="1" hidden="1" customWidth="1"/>
    <col min="12555" max="12557" width="9.1796875" style="1" customWidth="1"/>
    <col min="12558" max="12558" width="14.7265625" style="1" customWidth="1"/>
    <col min="12559" max="12564" width="0" style="1" hidden="1" customWidth="1"/>
    <col min="12565" max="12800" width="9.1796875" style="1"/>
    <col min="12801" max="12801" width="5.26953125" style="1" customWidth="1"/>
    <col min="12802" max="12802" width="62.453125" style="1" customWidth="1"/>
    <col min="12803" max="12803" width="10" style="1" customWidth="1"/>
    <col min="12804" max="12804" width="9.26953125" style="1" customWidth="1"/>
    <col min="12805" max="12805" width="10.453125" style="1" customWidth="1"/>
    <col min="12806" max="12806" width="11.54296875" style="1" customWidth="1"/>
    <col min="12807" max="12807" width="10.26953125" style="1" customWidth="1"/>
    <col min="12808" max="12808" width="14.7265625" style="1" customWidth="1"/>
    <col min="12809" max="12810" width="0" style="1" hidden="1" customWidth="1"/>
    <col min="12811" max="12813" width="9.1796875" style="1" customWidth="1"/>
    <col min="12814" max="12814" width="14.7265625" style="1" customWidth="1"/>
    <col min="12815" max="12820" width="0" style="1" hidden="1" customWidth="1"/>
    <col min="12821" max="13056" width="9.1796875" style="1"/>
    <col min="13057" max="13057" width="5.26953125" style="1" customWidth="1"/>
    <col min="13058" max="13058" width="62.453125" style="1" customWidth="1"/>
    <col min="13059" max="13059" width="10" style="1" customWidth="1"/>
    <col min="13060" max="13060" width="9.26953125" style="1" customWidth="1"/>
    <col min="13061" max="13061" width="10.453125" style="1" customWidth="1"/>
    <col min="13062" max="13062" width="11.54296875" style="1" customWidth="1"/>
    <col min="13063" max="13063" width="10.26953125" style="1" customWidth="1"/>
    <col min="13064" max="13064" width="14.7265625" style="1" customWidth="1"/>
    <col min="13065" max="13066" width="0" style="1" hidden="1" customWidth="1"/>
    <col min="13067" max="13069" width="9.1796875" style="1" customWidth="1"/>
    <col min="13070" max="13070" width="14.7265625" style="1" customWidth="1"/>
    <col min="13071" max="13076" width="0" style="1" hidden="1" customWidth="1"/>
    <col min="13077" max="13312" width="9.1796875" style="1"/>
    <col min="13313" max="13313" width="5.26953125" style="1" customWidth="1"/>
    <col min="13314" max="13314" width="62.453125" style="1" customWidth="1"/>
    <col min="13315" max="13315" width="10" style="1" customWidth="1"/>
    <col min="13316" max="13316" width="9.26953125" style="1" customWidth="1"/>
    <col min="13317" max="13317" width="10.453125" style="1" customWidth="1"/>
    <col min="13318" max="13318" width="11.54296875" style="1" customWidth="1"/>
    <col min="13319" max="13319" width="10.26953125" style="1" customWidth="1"/>
    <col min="13320" max="13320" width="14.7265625" style="1" customWidth="1"/>
    <col min="13321" max="13322" width="0" style="1" hidden="1" customWidth="1"/>
    <col min="13323" max="13325" width="9.1796875" style="1" customWidth="1"/>
    <col min="13326" max="13326" width="14.7265625" style="1" customWidth="1"/>
    <col min="13327" max="13332" width="0" style="1" hidden="1" customWidth="1"/>
    <col min="13333" max="13568" width="9.1796875" style="1"/>
    <col min="13569" max="13569" width="5.26953125" style="1" customWidth="1"/>
    <col min="13570" max="13570" width="62.453125" style="1" customWidth="1"/>
    <col min="13571" max="13571" width="10" style="1" customWidth="1"/>
    <col min="13572" max="13572" width="9.26953125" style="1" customWidth="1"/>
    <col min="13573" max="13573" width="10.453125" style="1" customWidth="1"/>
    <col min="13574" max="13574" width="11.54296875" style="1" customWidth="1"/>
    <col min="13575" max="13575" width="10.26953125" style="1" customWidth="1"/>
    <col min="13576" max="13576" width="14.7265625" style="1" customWidth="1"/>
    <col min="13577" max="13578" width="0" style="1" hidden="1" customWidth="1"/>
    <col min="13579" max="13581" width="9.1796875" style="1" customWidth="1"/>
    <col min="13582" max="13582" width="14.7265625" style="1" customWidth="1"/>
    <col min="13583" max="13588" width="0" style="1" hidden="1" customWidth="1"/>
    <col min="13589" max="13824" width="9.1796875" style="1"/>
    <col min="13825" max="13825" width="5.26953125" style="1" customWidth="1"/>
    <col min="13826" max="13826" width="62.453125" style="1" customWidth="1"/>
    <col min="13827" max="13827" width="10" style="1" customWidth="1"/>
    <col min="13828" max="13828" width="9.26953125" style="1" customWidth="1"/>
    <col min="13829" max="13829" width="10.453125" style="1" customWidth="1"/>
    <col min="13830" max="13830" width="11.54296875" style="1" customWidth="1"/>
    <col min="13831" max="13831" width="10.26953125" style="1" customWidth="1"/>
    <col min="13832" max="13832" width="14.7265625" style="1" customWidth="1"/>
    <col min="13833" max="13834" width="0" style="1" hidden="1" customWidth="1"/>
    <col min="13835" max="13837" width="9.1796875" style="1" customWidth="1"/>
    <col min="13838" max="13838" width="14.7265625" style="1" customWidth="1"/>
    <col min="13839" max="13844" width="0" style="1" hidden="1" customWidth="1"/>
    <col min="13845" max="14080" width="9.1796875" style="1"/>
    <col min="14081" max="14081" width="5.26953125" style="1" customWidth="1"/>
    <col min="14082" max="14082" width="62.453125" style="1" customWidth="1"/>
    <col min="14083" max="14083" width="10" style="1" customWidth="1"/>
    <col min="14084" max="14084" width="9.26953125" style="1" customWidth="1"/>
    <col min="14085" max="14085" width="10.453125" style="1" customWidth="1"/>
    <col min="14086" max="14086" width="11.54296875" style="1" customWidth="1"/>
    <col min="14087" max="14087" width="10.26953125" style="1" customWidth="1"/>
    <col min="14088" max="14088" width="14.7265625" style="1" customWidth="1"/>
    <col min="14089" max="14090" width="0" style="1" hidden="1" customWidth="1"/>
    <col min="14091" max="14093" width="9.1796875" style="1" customWidth="1"/>
    <col min="14094" max="14094" width="14.7265625" style="1" customWidth="1"/>
    <col min="14095" max="14100" width="0" style="1" hidden="1" customWidth="1"/>
    <col min="14101" max="14336" width="9.1796875" style="1"/>
    <col min="14337" max="14337" width="5.26953125" style="1" customWidth="1"/>
    <col min="14338" max="14338" width="62.453125" style="1" customWidth="1"/>
    <col min="14339" max="14339" width="10" style="1" customWidth="1"/>
    <col min="14340" max="14340" width="9.26953125" style="1" customWidth="1"/>
    <col min="14341" max="14341" width="10.453125" style="1" customWidth="1"/>
    <col min="14342" max="14342" width="11.54296875" style="1" customWidth="1"/>
    <col min="14343" max="14343" width="10.26953125" style="1" customWidth="1"/>
    <col min="14344" max="14344" width="14.7265625" style="1" customWidth="1"/>
    <col min="14345" max="14346" width="0" style="1" hidden="1" customWidth="1"/>
    <col min="14347" max="14349" width="9.1796875" style="1" customWidth="1"/>
    <col min="14350" max="14350" width="14.7265625" style="1" customWidth="1"/>
    <col min="14351" max="14356" width="0" style="1" hidden="1" customWidth="1"/>
    <col min="14357" max="14592" width="9.1796875" style="1"/>
    <col min="14593" max="14593" width="5.26953125" style="1" customWidth="1"/>
    <col min="14594" max="14594" width="62.453125" style="1" customWidth="1"/>
    <col min="14595" max="14595" width="10" style="1" customWidth="1"/>
    <col min="14596" max="14596" width="9.26953125" style="1" customWidth="1"/>
    <col min="14597" max="14597" width="10.453125" style="1" customWidth="1"/>
    <col min="14598" max="14598" width="11.54296875" style="1" customWidth="1"/>
    <col min="14599" max="14599" width="10.26953125" style="1" customWidth="1"/>
    <col min="14600" max="14600" width="14.7265625" style="1" customWidth="1"/>
    <col min="14601" max="14602" width="0" style="1" hidden="1" customWidth="1"/>
    <col min="14603" max="14605" width="9.1796875" style="1" customWidth="1"/>
    <col min="14606" max="14606" width="14.7265625" style="1" customWidth="1"/>
    <col min="14607" max="14612" width="0" style="1" hidden="1" customWidth="1"/>
    <col min="14613" max="14848" width="9.1796875" style="1"/>
    <col min="14849" max="14849" width="5.26953125" style="1" customWidth="1"/>
    <col min="14850" max="14850" width="62.453125" style="1" customWidth="1"/>
    <col min="14851" max="14851" width="10" style="1" customWidth="1"/>
    <col min="14852" max="14852" width="9.26953125" style="1" customWidth="1"/>
    <col min="14853" max="14853" width="10.453125" style="1" customWidth="1"/>
    <col min="14854" max="14854" width="11.54296875" style="1" customWidth="1"/>
    <col min="14855" max="14855" width="10.26953125" style="1" customWidth="1"/>
    <col min="14856" max="14856" width="14.7265625" style="1" customWidth="1"/>
    <col min="14857" max="14858" width="0" style="1" hidden="1" customWidth="1"/>
    <col min="14859" max="14861" width="9.1796875" style="1" customWidth="1"/>
    <col min="14862" max="14862" width="14.7265625" style="1" customWidth="1"/>
    <col min="14863" max="14868" width="0" style="1" hidden="1" customWidth="1"/>
    <col min="14869" max="15104" width="9.1796875" style="1"/>
    <col min="15105" max="15105" width="5.26953125" style="1" customWidth="1"/>
    <col min="15106" max="15106" width="62.453125" style="1" customWidth="1"/>
    <col min="15107" max="15107" width="10" style="1" customWidth="1"/>
    <col min="15108" max="15108" width="9.26953125" style="1" customWidth="1"/>
    <col min="15109" max="15109" width="10.453125" style="1" customWidth="1"/>
    <col min="15110" max="15110" width="11.54296875" style="1" customWidth="1"/>
    <col min="15111" max="15111" width="10.26953125" style="1" customWidth="1"/>
    <col min="15112" max="15112" width="14.7265625" style="1" customWidth="1"/>
    <col min="15113" max="15114" width="0" style="1" hidden="1" customWidth="1"/>
    <col min="15115" max="15117" width="9.1796875" style="1" customWidth="1"/>
    <col min="15118" max="15118" width="14.7265625" style="1" customWidth="1"/>
    <col min="15119" max="15124" width="0" style="1" hidden="1" customWidth="1"/>
    <col min="15125" max="15360" width="9.1796875" style="1"/>
    <col min="15361" max="15361" width="5.26953125" style="1" customWidth="1"/>
    <col min="15362" max="15362" width="62.453125" style="1" customWidth="1"/>
    <col min="15363" max="15363" width="10" style="1" customWidth="1"/>
    <col min="15364" max="15364" width="9.26953125" style="1" customWidth="1"/>
    <col min="15365" max="15365" width="10.453125" style="1" customWidth="1"/>
    <col min="15366" max="15366" width="11.54296875" style="1" customWidth="1"/>
    <col min="15367" max="15367" width="10.26953125" style="1" customWidth="1"/>
    <col min="15368" max="15368" width="14.7265625" style="1" customWidth="1"/>
    <col min="15369" max="15370" width="0" style="1" hidden="1" customWidth="1"/>
    <col min="15371" max="15373" width="9.1796875" style="1" customWidth="1"/>
    <col min="15374" max="15374" width="14.7265625" style="1" customWidth="1"/>
    <col min="15375" max="15380" width="0" style="1" hidden="1" customWidth="1"/>
    <col min="15381" max="15616" width="9.1796875" style="1"/>
    <col min="15617" max="15617" width="5.26953125" style="1" customWidth="1"/>
    <col min="15618" max="15618" width="62.453125" style="1" customWidth="1"/>
    <col min="15619" max="15619" width="10" style="1" customWidth="1"/>
    <col min="15620" max="15620" width="9.26953125" style="1" customWidth="1"/>
    <col min="15621" max="15621" width="10.453125" style="1" customWidth="1"/>
    <col min="15622" max="15622" width="11.54296875" style="1" customWidth="1"/>
    <col min="15623" max="15623" width="10.26953125" style="1" customWidth="1"/>
    <col min="15624" max="15624" width="14.7265625" style="1" customWidth="1"/>
    <col min="15625" max="15626" width="0" style="1" hidden="1" customWidth="1"/>
    <col min="15627" max="15629" width="9.1796875" style="1" customWidth="1"/>
    <col min="15630" max="15630" width="14.7265625" style="1" customWidth="1"/>
    <col min="15631" max="15636" width="0" style="1" hidden="1" customWidth="1"/>
    <col min="15637" max="15872" width="9.1796875" style="1"/>
    <col min="15873" max="15873" width="5.26953125" style="1" customWidth="1"/>
    <col min="15874" max="15874" width="62.453125" style="1" customWidth="1"/>
    <col min="15875" max="15875" width="10" style="1" customWidth="1"/>
    <col min="15876" max="15876" width="9.26953125" style="1" customWidth="1"/>
    <col min="15877" max="15877" width="10.453125" style="1" customWidth="1"/>
    <col min="15878" max="15878" width="11.54296875" style="1" customWidth="1"/>
    <col min="15879" max="15879" width="10.26953125" style="1" customWidth="1"/>
    <col min="15880" max="15880" width="14.7265625" style="1" customWidth="1"/>
    <col min="15881" max="15882" width="0" style="1" hidden="1" customWidth="1"/>
    <col min="15883" max="15885" width="9.1796875" style="1" customWidth="1"/>
    <col min="15886" max="15886" width="14.7265625" style="1" customWidth="1"/>
    <col min="15887" max="15892" width="0" style="1" hidden="1" customWidth="1"/>
    <col min="15893" max="16128" width="9.1796875" style="1"/>
    <col min="16129" max="16129" width="5.26953125" style="1" customWidth="1"/>
    <col min="16130" max="16130" width="62.453125" style="1" customWidth="1"/>
    <col min="16131" max="16131" width="10" style="1" customWidth="1"/>
    <col min="16132" max="16132" width="9.26953125" style="1" customWidth="1"/>
    <col min="16133" max="16133" width="10.453125" style="1" customWidth="1"/>
    <col min="16134" max="16134" width="11.54296875" style="1" customWidth="1"/>
    <col min="16135" max="16135" width="10.26953125" style="1" customWidth="1"/>
    <col min="16136" max="16136" width="14.7265625" style="1" customWidth="1"/>
    <col min="16137" max="16138" width="0" style="1" hidden="1" customWidth="1"/>
    <col min="16139" max="16141" width="9.1796875" style="1" customWidth="1"/>
    <col min="16142" max="16142" width="14.7265625" style="1" customWidth="1"/>
    <col min="16143" max="16148" width="0" style="1" hidden="1" customWidth="1"/>
    <col min="16149" max="16384" width="9.1796875" style="1"/>
  </cols>
  <sheetData>
    <row r="1" spans="1:18" ht="15.5" x14ac:dyDescent="0.3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5" x14ac:dyDescent="0.3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5" x14ac:dyDescent="0.3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5" x14ac:dyDescent="0.3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5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5" x14ac:dyDescent="0.35">
      <c r="I6" s="4"/>
      <c r="J6" s="4"/>
      <c r="K6" s="4"/>
      <c r="L6" s="4"/>
      <c r="M6" s="263"/>
      <c r="O6" s="870"/>
      <c r="P6" s="870"/>
      <c r="Q6" s="870"/>
      <c r="R6" s="870"/>
    </row>
    <row r="7" spans="1:18" ht="15.5" hidden="1" x14ac:dyDescent="0.3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5" hidden="1" x14ac:dyDescent="0.3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ht="13" x14ac:dyDescent="0.3">
      <c r="G11" s="392"/>
      <c r="H11" s="393"/>
      <c r="I11" s="394">
        <v>3685.4</v>
      </c>
      <c r="N11" s="393"/>
    </row>
    <row r="12" spans="1:18" ht="15.5" x14ac:dyDescent="0.3">
      <c r="B12" s="3488"/>
      <c r="C12" s="3488"/>
      <c r="D12" s="3488"/>
      <c r="E12" s="3488"/>
      <c r="F12" s="3488"/>
      <c r="G12" s="3488"/>
      <c r="H12" s="3488"/>
      <c r="I12" s="395" t="e">
        <f>I10-I11-#REF!</f>
        <v>#REF!</v>
      </c>
      <c r="N12" s="1"/>
    </row>
    <row r="13" spans="1:18" ht="15.65" customHeight="1" x14ac:dyDescent="0.25">
      <c r="A13" s="3489" t="s">
        <v>614</v>
      </c>
      <c r="B13" s="3489"/>
      <c r="C13" s="3489"/>
      <c r="D13" s="3489"/>
      <c r="E13" s="3489"/>
      <c r="F13" s="3489"/>
      <c r="G13" s="3489"/>
      <c r="H13" s="3489"/>
      <c r="I13" s="1"/>
      <c r="N13" s="1"/>
    </row>
    <row r="14" spans="1:18" ht="15.65" customHeight="1" x14ac:dyDescent="0.25">
      <c r="A14" s="3489" t="s">
        <v>613</v>
      </c>
      <c r="B14" s="3489"/>
      <c r="C14" s="3489"/>
      <c r="D14" s="3489"/>
      <c r="E14" s="3489"/>
      <c r="F14" s="3489"/>
      <c r="G14" s="3489"/>
      <c r="H14" s="3489"/>
      <c r="I14" s="1"/>
      <c r="N14" s="1"/>
    </row>
    <row r="15" spans="1:18" ht="15" customHeight="1" x14ac:dyDescent="0.25">
      <c r="A15" s="3489" t="s">
        <v>901</v>
      </c>
      <c r="B15" s="3489"/>
      <c r="C15" s="3489"/>
      <c r="D15" s="3489"/>
      <c r="E15" s="3489"/>
      <c r="F15" s="3489"/>
      <c r="G15" s="3489"/>
      <c r="H15" s="3489"/>
      <c r="I15" s="1"/>
      <c r="N15" s="1"/>
    </row>
    <row r="16" spans="1:18" ht="16" thickBot="1" x14ac:dyDescent="0.4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.5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1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1.5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.5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5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ht="13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0.5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 x14ac:dyDescent="0.3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 x14ac:dyDescent="0.3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1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1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5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0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 x14ac:dyDescent="0.3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0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0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0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0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0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0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20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2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0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0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20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0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0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6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0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 x14ac:dyDescent="0.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1.5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0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 x14ac:dyDescent="0.3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ht="13" x14ac:dyDescent="0.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0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1.5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0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0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0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1.5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0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t="13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1.5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t="13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0.5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796875" defaultRowHeight="13" x14ac:dyDescent="0.3"/>
  <cols>
    <col min="1" max="1" width="5.26953125" style="1468" customWidth="1"/>
    <col min="2" max="2" width="57.453125" style="1468" customWidth="1"/>
    <col min="3" max="3" width="5.54296875" style="1468" customWidth="1"/>
    <col min="4" max="4" width="6.54296875" style="1468" customWidth="1"/>
    <col min="5" max="5" width="7.26953125" style="1468" customWidth="1"/>
    <col min="6" max="6" width="11.54296875" style="1468" customWidth="1"/>
    <col min="7" max="7" width="7.1796875" style="1468" customWidth="1"/>
    <col min="8" max="9" width="14.7265625" style="1468" hidden="1" customWidth="1"/>
    <col min="10" max="10" width="15.81640625" style="1468" hidden="1" customWidth="1"/>
    <col min="11" max="11" width="18.7265625" style="1468" customWidth="1"/>
    <col min="12" max="12" width="15.54296875" style="1468" customWidth="1"/>
    <col min="13" max="13" width="11.453125" style="1473" hidden="1" customWidth="1"/>
    <col min="14" max="14" width="15.26953125" style="1473" hidden="1" customWidth="1"/>
    <col min="15" max="15" width="10.81640625" style="1473" hidden="1" customWidth="1"/>
    <col min="16" max="16" width="8.81640625" style="1468" customWidth="1"/>
    <col min="17" max="17" width="15.453125" style="1468" customWidth="1"/>
    <col min="18" max="20" width="9.1796875" style="1468" customWidth="1"/>
    <col min="21" max="21" width="13.54296875" style="1468" hidden="1" customWidth="1"/>
    <col min="22" max="22" width="13.7265625" style="1468" hidden="1" customWidth="1"/>
    <col min="23" max="16384" width="9.1796875" style="1468"/>
  </cols>
  <sheetData>
    <row r="1" spans="1:22" s="1433" customFormat="1" ht="15.5" x14ac:dyDescent="0.3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5" x14ac:dyDescent="0.3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5" x14ac:dyDescent="0.35">
      <c r="B3" s="6"/>
      <c r="C3" s="5"/>
      <c r="D3" s="3023" t="s">
        <v>449</v>
      </c>
      <c r="E3" s="3023"/>
      <c r="F3" s="3023"/>
      <c r="G3" s="3023"/>
      <c r="H3" s="3023"/>
      <c r="I3" s="3023"/>
      <c r="J3" s="3023"/>
      <c r="K3" s="3023"/>
      <c r="L3" s="3023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5" x14ac:dyDescent="0.3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5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5" hidden="1" x14ac:dyDescent="0.3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5" hidden="1" x14ac:dyDescent="0.3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5" hidden="1" x14ac:dyDescent="0.3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5" hidden="1" x14ac:dyDescent="0.3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5" x14ac:dyDescent="0.3">
      <c r="B12" s="3480"/>
      <c r="C12" s="3480"/>
      <c r="D12" s="3480"/>
      <c r="E12" s="3480"/>
      <c r="F12" s="3480"/>
      <c r="G12" s="3480"/>
      <c r="H12" s="3480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5" customHeight="1" x14ac:dyDescent="0.3">
      <c r="A13" s="3489" t="s">
        <v>614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  <c r="M13" s="1442">
        <v>2020</v>
      </c>
      <c r="N13" s="1442"/>
      <c r="O13" s="1442">
        <v>2021</v>
      </c>
    </row>
    <row r="14" spans="1:22" s="1" customFormat="1" ht="15.65" customHeight="1" x14ac:dyDescent="0.3">
      <c r="A14" s="3489" t="s">
        <v>613</v>
      </c>
      <c r="B14" s="3489"/>
      <c r="C14" s="3489"/>
      <c r="D14" s="3489"/>
      <c r="E14" s="3489"/>
      <c r="F14" s="3489"/>
      <c r="G14" s="3489"/>
      <c r="H14" s="3489"/>
      <c r="I14" s="3489"/>
      <c r="J14" s="3489"/>
      <c r="K14" s="3489"/>
      <c r="L14" s="3489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3">
      <c r="A15" s="3489" t="s">
        <v>903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 x14ac:dyDescent="0.3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x14ac:dyDescent="0.3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3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3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 x14ac:dyDescent="0.3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3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 x14ac:dyDescent="0.3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 x14ac:dyDescent="0.3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 x14ac:dyDescent="0.3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 x14ac:dyDescent="0.3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 x14ac:dyDescent="0.3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 thickBot="1" x14ac:dyDescent="0.4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 thickBot="1" x14ac:dyDescent="0.4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4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 thickBot="1" x14ac:dyDescent="0.4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 thickBot="1" x14ac:dyDescent="0.4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 thickBot="1" x14ac:dyDescent="0.4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4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 thickBot="1" x14ac:dyDescent="0.4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4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 x14ac:dyDescent="0.4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 x14ac:dyDescent="0.3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 x14ac:dyDescent="0.3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 x14ac:dyDescent="0.3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 x14ac:dyDescent="0.3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 x14ac:dyDescent="0.3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 x14ac:dyDescent="0.3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 x14ac:dyDescent="0.3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 x14ac:dyDescent="0.3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 x14ac:dyDescent="0.3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 x14ac:dyDescent="0.3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 x14ac:dyDescent="0.3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 x14ac:dyDescent="0.3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 x14ac:dyDescent="0.3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 x14ac:dyDescent="0.3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 x14ac:dyDescent="0.3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 x14ac:dyDescent="0.3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 x14ac:dyDescent="0.3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 x14ac:dyDescent="0.3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 x14ac:dyDescent="0.3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 x14ac:dyDescent="0.3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 x14ac:dyDescent="0.3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 x14ac:dyDescent="0.3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 x14ac:dyDescent="0.3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 x14ac:dyDescent="0.3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 x14ac:dyDescent="0.3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 x14ac:dyDescent="0.3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3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 x14ac:dyDescent="0.3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 x14ac:dyDescent="0.3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 x14ac:dyDescent="0.3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 x14ac:dyDescent="0.3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3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 x14ac:dyDescent="0.3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 x14ac:dyDescent="0.3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 x14ac:dyDescent="0.3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 x14ac:dyDescent="0.3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 x14ac:dyDescent="0.3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 x14ac:dyDescent="0.3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 x14ac:dyDescent="0.3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 x14ac:dyDescent="0.3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 x14ac:dyDescent="0.3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 x14ac:dyDescent="0.3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 x14ac:dyDescent="0.3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 x14ac:dyDescent="0.3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 x14ac:dyDescent="0.3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 x14ac:dyDescent="0.3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 x14ac:dyDescent="0.3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 x14ac:dyDescent="0.3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 x14ac:dyDescent="0.3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 x14ac:dyDescent="0.3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 x14ac:dyDescent="0.3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 x14ac:dyDescent="0.3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 x14ac:dyDescent="0.3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 x14ac:dyDescent="0.3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 x14ac:dyDescent="0.3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 x14ac:dyDescent="0.3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 x14ac:dyDescent="0.3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 x14ac:dyDescent="0.3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 x14ac:dyDescent="0.3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 x14ac:dyDescent="0.3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 x14ac:dyDescent="0.3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 x14ac:dyDescent="0.3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 x14ac:dyDescent="0.3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 x14ac:dyDescent="0.3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 x14ac:dyDescent="0.3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 x14ac:dyDescent="0.3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 x14ac:dyDescent="0.3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 x14ac:dyDescent="0.3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 x14ac:dyDescent="0.3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 x14ac:dyDescent="0.3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 x14ac:dyDescent="0.3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 x14ac:dyDescent="0.3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 x14ac:dyDescent="0.3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3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 x14ac:dyDescent="0.3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 x14ac:dyDescent="0.3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 x14ac:dyDescent="0.3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 x14ac:dyDescent="0.3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 x14ac:dyDescent="0.3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 x14ac:dyDescent="0.3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 x14ac:dyDescent="0.3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 x14ac:dyDescent="0.3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 x14ac:dyDescent="0.3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 x14ac:dyDescent="0.3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 x14ac:dyDescent="0.3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 x14ac:dyDescent="0.3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 x14ac:dyDescent="0.3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 x14ac:dyDescent="0.3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 x14ac:dyDescent="0.3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 x14ac:dyDescent="0.3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 x14ac:dyDescent="0.3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 x14ac:dyDescent="0.3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 x14ac:dyDescent="0.3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 x14ac:dyDescent="0.3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 x14ac:dyDescent="0.3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 x14ac:dyDescent="0.3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 x14ac:dyDescent="0.3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 x14ac:dyDescent="0.3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 x14ac:dyDescent="0.3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 x14ac:dyDescent="0.3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 x14ac:dyDescent="0.3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 x14ac:dyDescent="0.3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 x14ac:dyDescent="0.3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 x14ac:dyDescent="0.3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3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 x14ac:dyDescent="0.3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 x14ac:dyDescent="0.3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 x14ac:dyDescent="0.3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 x14ac:dyDescent="0.3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 x14ac:dyDescent="0.3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 x14ac:dyDescent="0.3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 x14ac:dyDescent="0.3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 x14ac:dyDescent="0.3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 x14ac:dyDescent="0.3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 x14ac:dyDescent="0.3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 x14ac:dyDescent="0.3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 x14ac:dyDescent="0.3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 x14ac:dyDescent="0.3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 x14ac:dyDescent="0.3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1" hidden="1" x14ac:dyDescent="0.3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 x14ac:dyDescent="0.3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 x14ac:dyDescent="0.3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 x14ac:dyDescent="0.3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 x14ac:dyDescent="0.3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1" hidden="1" x14ac:dyDescent="0.3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 x14ac:dyDescent="0.3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 x14ac:dyDescent="0.3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 x14ac:dyDescent="0.3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 x14ac:dyDescent="0.3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 x14ac:dyDescent="0.3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 x14ac:dyDescent="0.3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 x14ac:dyDescent="0.3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 x14ac:dyDescent="0.3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 x14ac:dyDescent="0.3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 x14ac:dyDescent="0.3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 x14ac:dyDescent="0.3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 x14ac:dyDescent="0.3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 x14ac:dyDescent="0.3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 x14ac:dyDescent="0.3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 x14ac:dyDescent="0.3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 x14ac:dyDescent="0.3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 x14ac:dyDescent="0.3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 x14ac:dyDescent="0.3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 x14ac:dyDescent="0.3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 x14ac:dyDescent="0.3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 x14ac:dyDescent="0.3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 x14ac:dyDescent="0.3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 x14ac:dyDescent="0.3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 x14ac:dyDescent="0.3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 x14ac:dyDescent="0.3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 x14ac:dyDescent="0.3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 x14ac:dyDescent="0.3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 x14ac:dyDescent="0.3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 x14ac:dyDescent="0.3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 x14ac:dyDescent="0.3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 x14ac:dyDescent="0.3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 x14ac:dyDescent="0.3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3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 x14ac:dyDescent="0.3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 x14ac:dyDescent="0.3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3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 x14ac:dyDescent="0.3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 x14ac:dyDescent="0.3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 x14ac:dyDescent="0.3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 x14ac:dyDescent="0.3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 x14ac:dyDescent="0.3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 x14ac:dyDescent="0.3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 x14ac:dyDescent="0.3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 x14ac:dyDescent="0.3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 x14ac:dyDescent="0.3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 x14ac:dyDescent="0.3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 x14ac:dyDescent="0.3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 x14ac:dyDescent="0.3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 x14ac:dyDescent="0.3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 x14ac:dyDescent="0.3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 x14ac:dyDescent="0.3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 x14ac:dyDescent="0.3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 x14ac:dyDescent="0.3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 x14ac:dyDescent="0.4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 x14ac:dyDescent="0.3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 x14ac:dyDescent="0.3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 x14ac:dyDescent="0.3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 x14ac:dyDescent="0.3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 x14ac:dyDescent="0.3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 x14ac:dyDescent="0.3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x14ac:dyDescent="0.3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4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 x14ac:dyDescent="0.3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 x14ac:dyDescent="0.3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3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 x14ac:dyDescent="0.3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 x14ac:dyDescent="0.3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 x14ac:dyDescent="0.3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3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 x14ac:dyDescent="0.3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 x14ac:dyDescent="0.3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 x14ac:dyDescent="0.4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 x14ac:dyDescent="0.3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 x14ac:dyDescent="0.3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5" x14ac:dyDescent="0.3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1.5" x14ac:dyDescent="0.3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1" hidden="1" x14ac:dyDescent="0.3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.5" thickBot="1" x14ac:dyDescent="0.3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3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9" width="14.7265625" style="263" hidden="1" customWidth="1"/>
    <col min="10" max="10" width="15.81640625" style="263" hidden="1" customWidth="1"/>
    <col min="11" max="11" width="18.7265625" style="263" customWidth="1"/>
    <col min="12" max="12" width="14.26953125" style="1" customWidth="1"/>
    <col min="13" max="13" width="11.1796875" style="1" customWidth="1"/>
    <col min="14" max="14" width="9.1796875" style="1" customWidth="1"/>
    <col min="15" max="16" width="8.81640625" style="1" customWidth="1"/>
    <col min="17" max="17" width="15.453125" style="1" customWidth="1"/>
    <col min="18" max="20" width="9.1796875" style="1" customWidth="1"/>
    <col min="21" max="21" width="13.54296875" style="1" hidden="1" customWidth="1"/>
    <col min="22" max="22" width="13.7265625" style="1" hidden="1" customWidth="1"/>
    <col min="23" max="16384" width="9.1796875" style="1"/>
  </cols>
  <sheetData>
    <row r="1" spans="1:22" ht="15.5" x14ac:dyDescent="0.3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5" x14ac:dyDescent="0.3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5" x14ac:dyDescent="0.35">
      <c r="D3" s="3023" t="s">
        <v>449</v>
      </c>
      <c r="E3" s="3023"/>
      <c r="F3" s="3023"/>
      <c r="G3" s="3023"/>
      <c r="H3" s="3023"/>
      <c r="I3" s="3023"/>
      <c r="J3" s="3023"/>
      <c r="K3" s="3023"/>
      <c r="L3" s="3023"/>
      <c r="M3" s="261"/>
      <c r="N3" s="261"/>
      <c r="O3" s="261"/>
      <c r="P3" s="261"/>
      <c r="Q3" s="261"/>
      <c r="R3" s="261"/>
      <c r="S3" s="261"/>
      <c r="T3" s="261"/>
    </row>
    <row r="4" spans="1:22" ht="15.5" x14ac:dyDescent="0.3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5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5" hidden="1" x14ac:dyDescent="0.35">
      <c r="K6" s="4"/>
      <c r="L6" s="4"/>
      <c r="M6" s="4"/>
      <c r="N6" s="263"/>
      <c r="O6" s="870"/>
      <c r="P6" s="870"/>
      <c r="Q6" s="870"/>
      <c r="R6" s="870"/>
    </row>
    <row r="7" spans="1:22" ht="15.5" hidden="1" x14ac:dyDescent="0.3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5" hidden="1" x14ac:dyDescent="0.3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5" hidden="1" x14ac:dyDescent="0.3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5" x14ac:dyDescent="0.3">
      <c r="B12" s="3480"/>
      <c r="C12" s="3480"/>
      <c r="D12" s="3480"/>
      <c r="E12" s="3480"/>
      <c r="F12" s="3480"/>
      <c r="G12" s="3480"/>
      <c r="H12" s="3480"/>
      <c r="I12" s="242" t="s">
        <v>442</v>
      </c>
      <c r="J12" s="241" t="e">
        <f>J10-J11-#REF!</f>
        <v>#REF!</v>
      </c>
      <c r="K12" s="240"/>
    </row>
    <row r="13" spans="1:22" ht="15.65" customHeight="1" x14ac:dyDescent="0.25">
      <c r="A13" s="3489" t="s">
        <v>614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</row>
    <row r="14" spans="1:22" ht="15.65" customHeight="1" x14ac:dyDescent="0.25">
      <c r="A14" s="3489" t="s">
        <v>613</v>
      </c>
      <c r="B14" s="3489"/>
      <c r="C14" s="3489"/>
      <c r="D14" s="3489"/>
      <c r="E14" s="3489"/>
      <c r="F14" s="3489"/>
      <c r="G14" s="3489"/>
      <c r="H14" s="3489"/>
      <c r="I14" s="3489"/>
      <c r="J14" s="3489"/>
      <c r="K14" s="3489"/>
      <c r="L14" s="3489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3489" t="s">
        <v>903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1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1.5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.5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5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1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1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20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 x14ac:dyDescent="0.3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1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354" t="s">
        <v>991</v>
      </c>
      <c r="I5" s="3354"/>
      <c r="J5" s="3354"/>
      <c r="K5" s="3354"/>
      <c r="L5" s="3354"/>
      <c r="M5" s="3354"/>
      <c r="N5" s="3354"/>
      <c r="O5" s="3354"/>
      <c r="P5" s="3354"/>
      <c r="Q5" s="3354"/>
      <c r="R5" s="3354"/>
      <c r="S5" s="3354"/>
      <c r="T5" s="3354"/>
      <c r="U5" s="3354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488"/>
      <c r="C12" s="3488"/>
      <c r="D12" s="3488"/>
      <c r="E12" s="3488"/>
      <c r="F12" s="3488"/>
      <c r="G12" s="3488"/>
      <c r="H12" s="3488"/>
      <c r="I12" s="1830" t="e">
        <f>I10-I11-#REF!</f>
        <v>#REF!</v>
      </c>
      <c r="N12" s="237"/>
      <c r="U12" s="237"/>
    </row>
    <row r="13" spans="1:27" ht="15.65" customHeight="1" x14ac:dyDescent="0.25">
      <c r="A13" s="3489" t="s">
        <v>614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  <c r="M13" s="3489"/>
      <c r="N13" s="3489"/>
      <c r="O13" s="3489"/>
      <c r="P13" s="3489"/>
      <c r="Q13" s="3489"/>
      <c r="R13" s="3489"/>
      <c r="S13" s="3489"/>
      <c r="T13" s="3489"/>
      <c r="U13" s="3489"/>
      <c r="AA13" s="1831"/>
    </row>
    <row r="14" spans="1:27" ht="15.65" customHeight="1" x14ac:dyDescent="0.25">
      <c r="A14" s="3489" t="s">
        <v>613</v>
      </c>
      <c r="B14" s="3489"/>
      <c r="C14" s="3489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AA14" s="1832"/>
    </row>
    <row r="15" spans="1:27" ht="15" customHeight="1" x14ac:dyDescent="0.25">
      <c r="A15" s="3489" t="s">
        <v>968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3489"/>
      <c r="N15" s="3489"/>
      <c r="O15" s="3489"/>
      <c r="P15" s="3489"/>
      <c r="Q15" s="3489"/>
      <c r="R15" s="3489"/>
      <c r="S15" s="3489"/>
      <c r="T15" s="3489"/>
      <c r="U15" s="3489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1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1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1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1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3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1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2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1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1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1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1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1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1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1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1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1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1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1.5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1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2.5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1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" hidden="1" x14ac:dyDescent="0.3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1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1.5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1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1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1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1.5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1.5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2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1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1.5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1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1.5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1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1.5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1.5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1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1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1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1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ht="13" x14ac:dyDescent="0.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1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1" hidden="1" x14ac:dyDescent="0.3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ht="13" x14ac:dyDescent="0.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1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1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21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1.5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4.5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1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1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0.5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5" x14ac:dyDescent="0.3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5" x14ac:dyDescent="0.3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5" x14ac:dyDescent="0.3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5" x14ac:dyDescent="0.25">
      <c r="E5" s="388"/>
      <c r="F5" s="388"/>
      <c r="G5" s="388"/>
      <c r="H5" s="3027" t="s">
        <v>991</v>
      </c>
      <c r="I5" s="3027"/>
      <c r="J5" s="3027"/>
      <c r="K5" s="3027"/>
      <c r="L5" s="3027"/>
      <c r="M5" s="3027"/>
      <c r="N5" s="3027"/>
      <c r="O5" s="3027"/>
      <c r="P5" s="3027"/>
      <c r="Q5" s="3027"/>
      <c r="R5" s="3027"/>
      <c r="S5" s="3027"/>
      <c r="T5" s="3027"/>
      <c r="U5" s="3027"/>
      <c r="V5" s="258"/>
    </row>
    <row r="6" spans="1:22" ht="15.5" x14ac:dyDescent="0.3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5" hidden="1" x14ac:dyDescent="0.3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5" hidden="1" x14ac:dyDescent="0.3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488"/>
      <c r="C12" s="3488"/>
      <c r="D12" s="3488"/>
      <c r="E12" s="3488"/>
      <c r="F12" s="3488"/>
      <c r="G12" s="3488"/>
      <c r="H12" s="3488"/>
      <c r="I12" s="395" t="e">
        <f>I10-I11-#REF!</f>
        <v>#REF!</v>
      </c>
      <c r="N12" s="1"/>
      <c r="U12" s="1"/>
    </row>
    <row r="13" spans="1:22" ht="15.65" customHeight="1" x14ac:dyDescent="0.25">
      <c r="A13" s="3489" t="s">
        <v>614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  <c r="M13" s="3489"/>
      <c r="N13" s="3489"/>
      <c r="O13" s="3489"/>
      <c r="P13" s="3489"/>
      <c r="Q13" s="3489"/>
      <c r="R13" s="3489"/>
      <c r="S13" s="3489"/>
      <c r="T13" s="3489"/>
      <c r="U13" s="3489"/>
    </row>
    <row r="14" spans="1:22" ht="15.65" customHeight="1" x14ac:dyDescent="0.25">
      <c r="A14" s="3489" t="s">
        <v>613</v>
      </c>
      <c r="B14" s="3489"/>
      <c r="C14" s="3489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</row>
    <row r="15" spans="1:22" ht="15" customHeight="1" x14ac:dyDescent="0.25">
      <c r="A15" s="3489" t="s">
        <v>995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3489"/>
      <c r="N15" s="3489"/>
      <c r="O15" s="3489"/>
      <c r="P15" s="3489"/>
      <c r="Q15" s="3489"/>
      <c r="R15" s="3489"/>
      <c r="S15" s="3489"/>
      <c r="T15" s="3489"/>
      <c r="U15" s="3489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34"/>
  <sheetViews>
    <sheetView topLeftCell="A8" zoomScale="80" zoomScaleNormal="80" zoomScaleSheetLayoutView="86" workbookViewId="0">
      <selection activeCell="H112" sqref="H112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8.453125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6.54296875" style="2785" customWidth="1"/>
    <col min="9" max="9" width="18.7265625" style="2786" hidden="1" customWidth="1"/>
    <col min="10" max="10" width="15.7265625" style="2787" hidden="1" customWidth="1"/>
    <col min="11" max="11" width="11.1796875" style="2787" hidden="1" customWidth="1"/>
    <col min="12" max="12" width="14.7265625" style="2787" hidden="1" customWidth="1"/>
    <col min="13" max="13" width="2.453125" style="2787" hidden="1" customWidth="1"/>
    <col min="14" max="14" width="19.26953125" style="2785" customWidth="1"/>
    <col min="15" max="16" width="8.81640625" style="2787" hidden="1" customWidth="1"/>
    <col min="17" max="17" width="15.453125" style="2787" hidden="1" customWidth="1"/>
    <col min="18" max="20" width="9.1796875" style="2787" hidden="1" customWidth="1"/>
    <col min="21" max="21" width="19.54296875" style="2786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21" style="1" customWidth="1"/>
    <col min="30" max="30" width="19.7265625" style="1" customWidth="1"/>
    <col min="31" max="31" width="26.54296875" style="1" customWidth="1"/>
    <col min="32" max="16384" width="9.1796875" style="1"/>
  </cols>
  <sheetData>
    <row r="1" spans="5:22" ht="15.5" x14ac:dyDescent="0.35">
      <c r="H1" s="3490" t="s">
        <v>1140</v>
      </c>
      <c r="I1" s="3490"/>
      <c r="J1" s="3490"/>
      <c r="K1" s="3490"/>
      <c r="L1" s="3490"/>
      <c r="M1" s="3490"/>
      <c r="N1" s="3490"/>
      <c r="O1" s="3490"/>
      <c r="P1" s="3490"/>
      <c r="Q1" s="3490"/>
      <c r="R1" s="3490"/>
      <c r="S1" s="3490"/>
      <c r="T1" s="3490"/>
      <c r="U1" s="3490"/>
    </row>
    <row r="2" spans="5:22" ht="15.5" x14ac:dyDescent="0.35">
      <c r="H2" s="3490" t="s">
        <v>450</v>
      </c>
      <c r="I2" s="3490"/>
      <c r="J2" s="3490"/>
      <c r="K2" s="3490"/>
      <c r="L2" s="3490"/>
      <c r="M2" s="3490"/>
      <c r="N2" s="3490"/>
      <c r="O2" s="3490"/>
      <c r="P2" s="3490"/>
      <c r="Q2" s="3490"/>
      <c r="R2" s="3490"/>
      <c r="S2" s="3490"/>
      <c r="T2" s="3490"/>
      <c r="U2" s="3490"/>
    </row>
    <row r="3" spans="5:22" ht="15.5" x14ac:dyDescent="0.35">
      <c r="H3" s="3490" t="s">
        <v>449</v>
      </c>
      <c r="I3" s="3490"/>
      <c r="J3" s="3490"/>
      <c r="K3" s="3490"/>
      <c r="L3" s="3490"/>
      <c r="M3" s="3490"/>
      <c r="N3" s="3490"/>
      <c r="O3" s="3490"/>
      <c r="P3" s="3490"/>
      <c r="Q3" s="3490"/>
      <c r="R3" s="3490"/>
      <c r="S3" s="3490"/>
      <c r="T3" s="3490"/>
      <c r="U3" s="3490"/>
    </row>
    <row r="4" spans="5:22" ht="15.5" x14ac:dyDescent="0.35">
      <c r="H4" s="3490" t="s">
        <v>448</v>
      </c>
      <c r="I4" s="3490"/>
      <c r="J4" s="3490"/>
      <c r="K4" s="3490"/>
      <c r="L4" s="3490"/>
      <c r="M4" s="3490"/>
      <c r="N4" s="3490"/>
      <c r="O4" s="3490"/>
      <c r="P4" s="3490"/>
      <c r="Q4" s="3490"/>
      <c r="R4" s="3490"/>
      <c r="S4" s="3490"/>
      <c r="T4" s="3490"/>
      <c r="U4" s="3490"/>
    </row>
    <row r="5" spans="5:22" ht="15.5" x14ac:dyDescent="0.35">
      <c r="H5" s="3491" t="s">
        <v>1378</v>
      </c>
      <c r="I5" s="3491"/>
      <c r="J5" s="3491"/>
      <c r="K5" s="3491"/>
      <c r="L5" s="3491"/>
      <c r="M5" s="3491"/>
      <c r="N5" s="3491"/>
      <c r="O5" s="3491"/>
      <c r="P5" s="3491"/>
      <c r="Q5" s="3491"/>
      <c r="R5" s="3491"/>
      <c r="S5" s="3491"/>
      <c r="T5" s="3491"/>
      <c r="U5" s="3491"/>
    </row>
    <row r="7" spans="5:22" ht="15.5" x14ac:dyDescent="0.35">
      <c r="E7" s="1030"/>
      <c r="F7" s="1030"/>
      <c r="G7" s="1030"/>
      <c r="H7" s="2498"/>
      <c r="I7" s="2788"/>
      <c r="J7" s="2788"/>
      <c r="K7" s="2788"/>
      <c r="L7" s="2788"/>
      <c r="M7" s="2788"/>
      <c r="O7" s="2788"/>
      <c r="P7" s="2788"/>
      <c r="Q7" s="2788"/>
      <c r="R7" s="2788"/>
      <c r="U7" s="2789" t="s">
        <v>792</v>
      </c>
    </row>
    <row r="8" spans="5:22" ht="15.5" x14ac:dyDescent="0.35">
      <c r="E8" s="261"/>
      <c r="F8" s="261"/>
      <c r="G8" s="261"/>
      <c r="H8" s="2498"/>
      <c r="I8" s="2788"/>
      <c r="J8" s="2788"/>
      <c r="K8" s="2788"/>
      <c r="L8" s="2788"/>
      <c r="M8" s="2788"/>
      <c r="P8" s="2788"/>
      <c r="Q8" s="2788"/>
      <c r="R8" s="2788"/>
      <c r="U8" s="2789" t="s">
        <v>450</v>
      </c>
    </row>
    <row r="9" spans="5:22" ht="15.5" x14ac:dyDescent="0.35">
      <c r="E9" s="261"/>
      <c r="F9" s="261"/>
      <c r="G9" s="261"/>
      <c r="H9" s="2498"/>
      <c r="I9" s="2788"/>
      <c r="J9" s="2788"/>
      <c r="K9" s="2788"/>
      <c r="L9" s="2788"/>
      <c r="M9" s="2788"/>
      <c r="O9" s="2788"/>
      <c r="P9" s="2788"/>
      <c r="Q9" s="2788"/>
      <c r="R9" s="2788"/>
      <c r="U9" s="2789" t="s">
        <v>449</v>
      </c>
    </row>
    <row r="10" spans="5:22" ht="15.5" x14ac:dyDescent="0.35">
      <c r="E10" s="261"/>
      <c r="F10" s="261"/>
      <c r="G10" s="261"/>
      <c r="H10" s="2498"/>
      <c r="I10" s="2788"/>
      <c r="J10" s="2788"/>
      <c r="K10" s="2788"/>
      <c r="L10" s="2788"/>
      <c r="M10" s="2788"/>
      <c r="O10" s="2788"/>
      <c r="P10" s="2788"/>
      <c r="Q10" s="2788"/>
      <c r="R10" s="2788"/>
      <c r="U10" s="2789" t="s">
        <v>448</v>
      </c>
    </row>
    <row r="11" spans="5:22" ht="15.5" x14ac:dyDescent="0.25">
      <c r="E11" s="388"/>
      <c r="F11" s="388"/>
      <c r="G11" s="388"/>
      <c r="H11" s="3354" t="s">
        <v>1258</v>
      </c>
      <c r="I11" s="3354"/>
      <c r="J11" s="3354"/>
      <c r="K11" s="3354"/>
      <c r="L11" s="3354"/>
      <c r="M11" s="3354"/>
      <c r="N11" s="3354"/>
      <c r="O11" s="3354"/>
      <c r="P11" s="3354"/>
      <c r="Q11" s="3354"/>
      <c r="R11" s="3354"/>
      <c r="S11" s="3354"/>
      <c r="T11" s="3354"/>
      <c r="U11" s="3354"/>
      <c r="V11" s="1824"/>
    </row>
    <row r="12" spans="5:22" ht="15.5" hidden="1" x14ac:dyDescent="0.35">
      <c r="I12" s="2790"/>
      <c r="J12" s="2790"/>
      <c r="K12" s="2790"/>
      <c r="L12" s="2790"/>
      <c r="M12" s="2786"/>
      <c r="O12" s="2789"/>
      <c r="P12" s="2789"/>
      <c r="Q12" s="2789"/>
      <c r="R12" s="2789"/>
    </row>
    <row r="13" spans="5:22" ht="15.5" hidden="1" x14ac:dyDescent="0.35">
      <c r="E13" s="254"/>
      <c r="F13" s="254"/>
      <c r="G13" s="254"/>
      <c r="H13" s="2496" t="s">
        <v>446</v>
      </c>
      <c r="I13" s="2790"/>
      <c r="J13" s="2791"/>
      <c r="K13" s="2791"/>
      <c r="L13" s="2791"/>
      <c r="M13" s="2792"/>
      <c r="N13" s="2496" t="s">
        <v>446</v>
      </c>
      <c r="O13" s="2789"/>
      <c r="P13" s="2789"/>
      <c r="Q13" s="2789"/>
      <c r="R13" s="2789"/>
      <c r="U13" s="2792" t="s">
        <v>446</v>
      </c>
    </row>
    <row r="14" spans="5:22" ht="15.5" hidden="1" x14ac:dyDescent="0.35">
      <c r="E14" s="254"/>
      <c r="F14" s="254"/>
      <c r="G14" s="254"/>
      <c r="H14" s="2793"/>
      <c r="I14" s="2790"/>
      <c r="J14" s="2791"/>
      <c r="K14" s="2791"/>
      <c r="L14" s="2791"/>
      <c r="M14" s="2794"/>
      <c r="N14" s="2793"/>
      <c r="P14" s="2789"/>
      <c r="Q14" s="2789"/>
      <c r="U14" s="2794"/>
    </row>
    <row r="15" spans="5:22" ht="15.5" hidden="1" x14ac:dyDescent="0.35">
      <c r="E15" s="254"/>
      <c r="F15" s="254"/>
      <c r="G15" s="254"/>
      <c r="H15" s="2496" t="s">
        <v>848</v>
      </c>
      <c r="I15" s="2790"/>
      <c r="J15" s="2791"/>
      <c r="K15" s="2791"/>
      <c r="L15" s="2791"/>
      <c r="M15" s="2792"/>
      <c r="N15" s="2496" t="s">
        <v>848</v>
      </c>
      <c r="O15" s="2789"/>
      <c r="P15" s="2789"/>
      <c r="Q15" s="2789"/>
      <c r="R15" s="2789"/>
      <c r="U15" s="2792" t="s">
        <v>848</v>
      </c>
    </row>
    <row r="16" spans="5:22" ht="15.5" hidden="1" x14ac:dyDescent="0.35">
      <c r="H16" s="2795"/>
      <c r="I16" s="2796">
        <v>73707.5</v>
      </c>
      <c r="J16" s="2790"/>
      <c r="K16" s="2790"/>
      <c r="L16" s="2790"/>
      <c r="M16" s="2786"/>
      <c r="N16" s="2795"/>
      <c r="O16" s="2789"/>
      <c r="P16" s="2789"/>
      <c r="Q16" s="2789"/>
      <c r="U16" s="2797"/>
    </row>
    <row r="17" spans="1:30" ht="13" hidden="1" x14ac:dyDescent="0.3">
      <c r="G17" s="392"/>
      <c r="H17" s="2795"/>
      <c r="I17" s="2798">
        <v>3685.4</v>
      </c>
      <c r="N17" s="2795"/>
      <c r="U17" s="2797"/>
    </row>
    <row r="18" spans="1:30" ht="15.5" hidden="1" x14ac:dyDescent="0.3">
      <c r="B18" s="3488"/>
      <c r="C18" s="3488"/>
      <c r="D18" s="3488"/>
      <c r="E18" s="3488"/>
      <c r="F18" s="3488"/>
      <c r="G18" s="3488"/>
      <c r="H18" s="3488"/>
      <c r="I18" s="2799" t="e">
        <f>I16-I17-#REF!</f>
        <v>#REF!</v>
      </c>
      <c r="N18" s="2800"/>
      <c r="U18" s="2787"/>
    </row>
    <row r="19" spans="1:30" ht="15.65" customHeight="1" x14ac:dyDescent="0.25">
      <c r="A19" s="3489" t="s">
        <v>614</v>
      </c>
      <c r="B19" s="3489"/>
      <c r="C19" s="3489"/>
      <c r="D19" s="3489"/>
      <c r="E19" s="3489"/>
      <c r="F19" s="3489"/>
      <c r="G19" s="3489"/>
      <c r="H19" s="3489"/>
      <c r="I19" s="3489"/>
      <c r="J19" s="3489"/>
      <c r="K19" s="3489"/>
      <c r="L19" s="3489"/>
      <c r="M19" s="3489"/>
      <c r="N19" s="3489"/>
      <c r="O19" s="3489"/>
      <c r="P19" s="3489"/>
      <c r="Q19" s="3489"/>
      <c r="R19" s="3489"/>
      <c r="S19" s="3489"/>
      <c r="T19" s="3489"/>
      <c r="U19" s="3489"/>
      <c r="AA19" s="1831"/>
    </row>
    <row r="20" spans="1:30" ht="15.65" customHeight="1" x14ac:dyDescent="0.25">
      <c r="A20" s="3489" t="s">
        <v>613</v>
      </c>
      <c r="B20" s="3489"/>
      <c r="C20" s="3489"/>
      <c r="D20" s="3489"/>
      <c r="E20" s="3489"/>
      <c r="F20" s="3489"/>
      <c r="G20" s="3489"/>
      <c r="H20" s="3489"/>
      <c r="I20" s="3489"/>
      <c r="J20" s="3489"/>
      <c r="K20" s="3489"/>
      <c r="L20" s="3489"/>
      <c r="M20" s="3489"/>
      <c r="N20" s="3489"/>
      <c r="O20" s="3489"/>
      <c r="P20" s="3489"/>
      <c r="Q20" s="3489"/>
      <c r="R20" s="3489"/>
      <c r="S20" s="3489"/>
      <c r="T20" s="3489"/>
      <c r="U20" s="3489"/>
      <c r="AA20" s="1832">
        <f>AA22-99005.965</f>
        <v>13424.228000000003</v>
      </c>
      <c r="AB20" s="237">
        <f>AB22-99831.286</f>
        <v>12547.771000000008</v>
      </c>
      <c r="AC20" s="2447">
        <v>164590.70634</v>
      </c>
    </row>
    <row r="21" spans="1:30" ht="15" customHeight="1" x14ac:dyDescent="0.25">
      <c r="A21" s="3489" t="s">
        <v>1226</v>
      </c>
      <c r="B21" s="3489"/>
      <c r="C21" s="3489"/>
      <c r="D21" s="3489"/>
      <c r="E21" s="3489"/>
      <c r="F21" s="3489"/>
      <c r="G21" s="3489"/>
      <c r="H21" s="3489"/>
      <c r="I21" s="3489"/>
      <c r="J21" s="3489"/>
      <c r="K21" s="3489"/>
      <c r="L21" s="3489"/>
      <c r="M21" s="3489"/>
      <c r="N21" s="3489"/>
      <c r="O21" s="3489"/>
      <c r="P21" s="3489"/>
      <c r="Q21" s="3489"/>
      <c r="R21" s="3489"/>
      <c r="S21" s="3489"/>
      <c r="T21" s="3489"/>
      <c r="U21" s="3489"/>
      <c r="AA21" s="1833"/>
      <c r="AC21" s="237"/>
    </row>
    <row r="22" spans="1:30" ht="16" thickBot="1" x14ac:dyDescent="0.4">
      <c r="A22" s="375"/>
      <c r="B22" s="236"/>
      <c r="C22" s="235"/>
      <c r="D22" s="234"/>
      <c r="E22" s="234"/>
      <c r="F22" s="234"/>
      <c r="G22" s="234"/>
      <c r="H22" s="2801"/>
      <c r="I22" s="2983"/>
      <c r="N22" s="2801"/>
      <c r="U22" s="2802" t="s">
        <v>829</v>
      </c>
      <c r="AA22" s="237">
        <f>N24+AA24</f>
        <v>112430.193</v>
      </c>
      <c r="AB22" s="237">
        <f>U24+AB24</f>
        <v>112379.057</v>
      </c>
    </row>
    <row r="23" spans="1:30" ht="13" thickBot="1" x14ac:dyDescent="0.3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2803" t="s">
        <v>996</v>
      </c>
      <c r="I23" s="2804" t="s">
        <v>604</v>
      </c>
      <c r="J23" s="2805" t="s">
        <v>603</v>
      </c>
      <c r="K23" s="2806"/>
      <c r="L23" s="2806"/>
      <c r="M23" s="2806"/>
      <c r="N23" s="2807" t="s">
        <v>1201</v>
      </c>
      <c r="O23" s="2806"/>
      <c r="P23" s="2806"/>
      <c r="Q23" s="2806"/>
      <c r="R23" s="2806"/>
      <c r="S23" s="2806"/>
      <c r="T23" s="2806"/>
      <c r="U23" s="2808" t="s">
        <v>1227</v>
      </c>
    </row>
    <row r="24" spans="1:30" ht="13.5" thickBot="1" x14ac:dyDescent="0.3">
      <c r="A24" s="1163"/>
      <c r="B24" s="1164" t="s">
        <v>618</v>
      </c>
      <c r="C24" s="1165"/>
      <c r="D24" s="1166"/>
      <c r="E24" s="1166"/>
      <c r="F24" s="1166"/>
      <c r="G24" s="1659"/>
      <c r="H24" s="2809">
        <f>H26+H596+H624+H575</f>
        <v>164590.70134000003</v>
      </c>
      <c r="I24" s="2810" t="e">
        <f>I25+I59+I575</f>
        <v>#REF!</v>
      </c>
      <c r="J24" s="2811" t="e">
        <f>J25+J59+J575</f>
        <v>#REF!</v>
      </c>
      <c r="K24" s="2812">
        <f>K27+K138+K170+K201+K240+K247+K261+K280+K282+K311+K356+K462+K487+K514+K532+K562</f>
        <v>32490.631000000001</v>
      </c>
      <c r="L24" s="2812">
        <v>95708.6</v>
      </c>
      <c r="M24" s="2812">
        <f>H24-L24</f>
        <v>68882.101340000023</v>
      </c>
      <c r="N24" s="2813">
        <f>N26+N596+N624+N575</f>
        <v>109903.35400000001</v>
      </c>
      <c r="O24" s="2812"/>
      <c r="P24" s="2812"/>
      <c r="Q24" s="2812"/>
      <c r="R24" s="2812"/>
      <c r="S24" s="2812"/>
      <c r="T24" s="2812"/>
      <c r="U24" s="2809">
        <f>U26+U596+U624+U575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5" hidden="1" thickBot="1" x14ac:dyDescent="0.3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2814">
        <f>H27</f>
        <v>31696.442999999999</v>
      </c>
      <c r="I25" s="2815">
        <f>I27</f>
        <v>0</v>
      </c>
      <c r="J25" s="2816">
        <f>J27</f>
        <v>0</v>
      </c>
      <c r="K25" s="2812"/>
      <c r="L25" s="2812"/>
      <c r="M25" s="2812"/>
      <c r="N25" s="2817">
        <f>N27</f>
        <v>26739.2055</v>
      </c>
      <c r="O25" s="2812"/>
      <c r="P25" s="2812"/>
      <c r="Q25" s="2812"/>
      <c r="R25" s="2812"/>
      <c r="S25" s="2812"/>
      <c r="T25" s="2812"/>
      <c r="U25" s="2814">
        <f>U27</f>
        <v>27902.480819999997</v>
      </c>
    </row>
    <row r="26" spans="1:30" ht="23.5" thickBot="1" x14ac:dyDescent="0.3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2814">
        <f>H27+H126+H136+H174+H258+H459+H485+H513+H532+H562</f>
        <v>159677.17634000003</v>
      </c>
      <c r="I26" s="2815">
        <f>I27+I106+I137+I228+I354+I368+I465+I499+I96</f>
        <v>17641.879999999997</v>
      </c>
      <c r="J26" s="2818">
        <f>J27+J106+J137+J228+J354+J368+J465+J499+J96</f>
        <v>13887.225999999999</v>
      </c>
      <c r="K26" s="2812"/>
      <c r="L26" s="2812"/>
      <c r="M26" s="2812"/>
      <c r="N26" s="2817">
        <f>N27+N126+N136+N174+N258+N459+N485+N513+N532+N562</f>
        <v>106132.243</v>
      </c>
      <c r="O26" s="2812"/>
      <c r="P26" s="2812"/>
      <c r="Q26" s="2812"/>
      <c r="R26" s="2812"/>
      <c r="S26" s="2812"/>
      <c r="T26" s="2812"/>
      <c r="U26" s="2814">
        <f>U27+U126+U136+U174+U258+U459+U485+U513+U532+U562</f>
        <v>103382.383</v>
      </c>
      <c r="AA26" s="1836"/>
    </row>
    <row r="27" spans="1:30" ht="13" thickBot="1" x14ac:dyDescent="0.3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2819">
        <f>H61+H85+H99+H106+H92</f>
        <v>31696.442999999999</v>
      </c>
      <c r="I27" s="2820">
        <f>I28+I40+I53</f>
        <v>0</v>
      </c>
      <c r="J27" s="2821">
        <f>J28+J40+J53</f>
        <v>0</v>
      </c>
      <c r="K27" s="2822">
        <f>K39+K45+K46+K47+K67+K69+K71+K74+K77+K84+K91+K105+K109+K110+K112+K115</f>
        <v>18000.908000000003</v>
      </c>
      <c r="L27" s="2812"/>
      <c r="M27" s="2812"/>
      <c r="N27" s="2823">
        <f>N61+N85+N92+N99+N112</f>
        <v>26739.2055</v>
      </c>
      <c r="O27" s="2812"/>
      <c r="P27" s="2812"/>
      <c r="Q27" s="2812"/>
      <c r="R27" s="2812"/>
      <c r="S27" s="2812"/>
      <c r="T27" s="2812"/>
      <c r="U27" s="2819">
        <f>U34+U40+U61+U85+U99+U106</f>
        <v>27902.480819999997</v>
      </c>
    </row>
    <row r="28" spans="1:30" ht="21.5" hidden="1" thickBot="1" x14ac:dyDescent="0.3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2824"/>
      <c r="I28" s="2825">
        <f t="shared" ref="I28:J32" si="0">I29</f>
        <v>0</v>
      </c>
      <c r="J28" s="2826">
        <f t="shared" si="0"/>
        <v>0</v>
      </c>
      <c r="K28" s="2812"/>
      <c r="L28" s="2812"/>
      <c r="M28" s="2812"/>
      <c r="N28" s="2827"/>
      <c r="O28" s="2812"/>
      <c r="P28" s="2812"/>
      <c r="Q28" s="2812"/>
      <c r="R28" s="2812"/>
      <c r="S28" s="2812"/>
      <c r="T28" s="2812"/>
      <c r="U28" s="2824"/>
    </row>
    <row r="29" spans="1:30" ht="21.5" hidden="1" thickBot="1" x14ac:dyDescent="0.3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2828"/>
      <c r="I29" s="2829">
        <f t="shared" si="0"/>
        <v>0</v>
      </c>
      <c r="J29" s="2830">
        <f t="shared" si="0"/>
        <v>0</v>
      </c>
      <c r="K29" s="2812"/>
      <c r="L29" s="2812"/>
      <c r="M29" s="2812"/>
      <c r="N29" s="2831"/>
      <c r="O29" s="2812"/>
      <c r="P29" s="2812"/>
      <c r="Q29" s="2812"/>
      <c r="R29" s="2812"/>
      <c r="S29" s="2812"/>
      <c r="T29" s="2812"/>
      <c r="U29" s="2828"/>
    </row>
    <row r="30" spans="1:30" ht="21.5" hidden="1" thickBot="1" x14ac:dyDescent="0.3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2828"/>
      <c r="I30" s="2829">
        <f t="shared" si="0"/>
        <v>0</v>
      </c>
      <c r="J30" s="2830">
        <f t="shared" si="0"/>
        <v>0</v>
      </c>
      <c r="K30" s="2812"/>
      <c r="L30" s="2812"/>
      <c r="M30" s="2812"/>
      <c r="N30" s="2831"/>
      <c r="O30" s="2812"/>
      <c r="P30" s="2812"/>
      <c r="Q30" s="2812"/>
      <c r="R30" s="2812"/>
      <c r="S30" s="2812"/>
      <c r="T30" s="2812"/>
      <c r="U30" s="2828"/>
    </row>
    <row r="31" spans="1:30" ht="13" hidden="1" thickBot="1" x14ac:dyDescent="0.3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2828"/>
      <c r="I31" s="2829">
        <f t="shared" si="0"/>
        <v>0</v>
      </c>
      <c r="J31" s="2830">
        <f t="shared" si="0"/>
        <v>0</v>
      </c>
      <c r="K31" s="2812"/>
      <c r="L31" s="2812"/>
      <c r="M31" s="2812"/>
      <c r="N31" s="2831"/>
      <c r="O31" s="2812"/>
      <c r="P31" s="2812"/>
      <c r="Q31" s="2812"/>
      <c r="R31" s="2812"/>
      <c r="S31" s="2812"/>
      <c r="T31" s="2812"/>
      <c r="U31" s="2828"/>
    </row>
    <row r="32" spans="1:30" ht="21.5" hidden="1" thickBot="1" x14ac:dyDescent="0.3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2828"/>
      <c r="I32" s="2829">
        <f t="shared" si="0"/>
        <v>0</v>
      </c>
      <c r="J32" s="2830">
        <f t="shared" si="0"/>
        <v>0</v>
      </c>
      <c r="K32" s="2812"/>
      <c r="L32" s="2812"/>
      <c r="M32" s="2812"/>
      <c r="N32" s="2831"/>
      <c r="O32" s="2812"/>
      <c r="P32" s="2812"/>
      <c r="Q32" s="2812"/>
      <c r="R32" s="2812"/>
      <c r="S32" s="2812"/>
      <c r="T32" s="2812"/>
      <c r="U32" s="2828"/>
    </row>
    <row r="33" spans="1:21" ht="13" hidden="1" thickBot="1" x14ac:dyDescent="0.3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2828"/>
      <c r="I33" s="2829"/>
      <c r="J33" s="2830"/>
      <c r="K33" s="2812"/>
      <c r="L33" s="2812"/>
      <c r="M33" s="2812"/>
      <c r="N33" s="2831"/>
      <c r="O33" s="2812"/>
      <c r="P33" s="2812"/>
      <c r="Q33" s="2812"/>
      <c r="R33" s="2812"/>
      <c r="S33" s="2812"/>
      <c r="T33" s="2812"/>
      <c r="U33" s="2828"/>
    </row>
    <row r="34" spans="1:21" ht="23.5" hidden="1" thickBot="1" x14ac:dyDescent="0.3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2824"/>
      <c r="I34" s="2829"/>
      <c r="J34" s="2830"/>
      <c r="K34" s="2812"/>
      <c r="L34" s="2812"/>
      <c r="M34" s="2812"/>
      <c r="N34" s="2827"/>
      <c r="O34" s="2812"/>
      <c r="P34" s="2812"/>
      <c r="Q34" s="2812"/>
      <c r="R34" s="2812"/>
      <c r="S34" s="2812"/>
      <c r="T34" s="2812"/>
      <c r="U34" s="2824"/>
    </row>
    <row r="35" spans="1:21" ht="24.75" hidden="1" customHeight="1" x14ac:dyDescent="0.25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2828"/>
      <c r="I35" s="2829"/>
      <c r="J35" s="2830"/>
      <c r="K35" s="2812"/>
      <c r="L35" s="2812"/>
      <c r="M35" s="2812"/>
      <c r="N35" s="2831"/>
      <c r="O35" s="2812"/>
      <c r="P35" s="2812"/>
      <c r="Q35" s="2812"/>
      <c r="R35" s="2812"/>
      <c r="S35" s="2812"/>
      <c r="T35" s="2812"/>
      <c r="U35" s="2828"/>
    </row>
    <row r="36" spans="1:21" ht="21.5" hidden="1" thickBot="1" x14ac:dyDescent="0.3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2828"/>
      <c r="I36" s="2829"/>
      <c r="J36" s="2830"/>
      <c r="K36" s="2812"/>
      <c r="L36" s="2812"/>
      <c r="M36" s="2812"/>
      <c r="N36" s="2831"/>
      <c r="O36" s="2812"/>
      <c r="P36" s="2812"/>
      <c r="Q36" s="2812"/>
      <c r="R36" s="2812"/>
      <c r="S36" s="2812"/>
      <c r="T36" s="2812"/>
      <c r="U36" s="2828"/>
    </row>
    <row r="37" spans="1:21" ht="13" hidden="1" thickBot="1" x14ac:dyDescent="0.3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2828"/>
      <c r="I37" s="2829"/>
      <c r="J37" s="2830"/>
      <c r="K37" s="2812"/>
      <c r="L37" s="2812"/>
      <c r="M37" s="2812"/>
      <c r="N37" s="2831"/>
      <c r="O37" s="2812"/>
      <c r="P37" s="2812"/>
      <c r="Q37" s="2812"/>
      <c r="R37" s="2812"/>
      <c r="S37" s="2812"/>
      <c r="T37" s="2812"/>
      <c r="U37" s="2828"/>
    </row>
    <row r="38" spans="1:21" ht="21.5" hidden="1" thickBot="1" x14ac:dyDescent="0.3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2828"/>
      <c r="I38" s="2829"/>
      <c r="J38" s="2830"/>
      <c r="K38" s="2812"/>
      <c r="L38" s="2812"/>
      <c r="M38" s="2812"/>
      <c r="N38" s="2831"/>
      <c r="O38" s="2812"/>
      <c r="P38" s="2812"/>
      <c r="Q38" s="2812"/>
      <c r="R38" s="2812"/>
      <c r="S38" s="2812"/>
      <c r="T38" s="2812"/>
      <c r="U38" s="2828"/>
    </row>
    <row r="39" spans="1:21" ht="13" hidden="1" thickBot="1" x14ac:dyDescent="0.3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2828"/>
      <c r="I39" s="2829"/>
      <c r="J39" s="2830"/>
      <c r="K39" s="2812"/>
      <c r="L39" s="2812"/>
      <c r="M39" s="2812"/>
      <c r="N39" s="2831"/>
      <c r="O39" s="2812"/>
      <c r="P39" s="2812"/>
      <c r="Q39" s="2812"/>
      <c r="R39" s="2812"/>
      <c r="S39" s="2812"/>
      <c r="T39" s="2812"/>
      <c r="U39" s="2828"/>
    </row>
    <row r="40" spans="1:21" ht="35" hidden="1" thickBot="1" x14ac:dyDescent="0.3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2824"/>
      <c r="I40" s="2825"/>
      <c r="J40" s="2826"/>
      <c r="K40" s="2812"/>
      <c r="L40" s="2812"/>
      <c r="M40" s="2812"/>
      <c r="N40" s="2827"/>
      <c r="O40" s="2812"/>
      <c r="P40" s="2812"/>
      <c r="Q40" s="2812"/>
      <c r="R40" s="2812"/>
      <c r="S40" s="2812"/>
      <c r="T40" s="2812"/>
      <c r="U40" s="2824"/>
    </row>
    <row r="41" spans="1:21" ht="26.25" hidden="1" customHeight="1" x14ac:dyDescent="0.25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2828"/>
      <c r="I41" s="2829"/>
      <c r="J41" s="2830"/>
      <c r="K41" s="2812"/>
      <c r="L41" s="2812"/>
      <c r="M41" s="2812"/>
      <c r="N41" s="2831"/>
      <c r="O41" s="2812"/>
      <c r="P41" s="2812"/>
      <c r="Q41" s="2812"/>
      <c r="R41" s="2812"/>
      <c r="S41" s="2812"/>
      <c r="T41" s="2812"/>
      <c r="U41" s="2828"/>
    </row>
    <row r="42" spans="1:21" ht="27" hidden="1" customHeight="1" x14ac:dyDescent="0.25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2828"/>
      <c r="I42" s="2829"/>
      <c r="J42" s="2830"/>
      <c r="K42" s="2812"/>
      <c r="L42" s="2812"/>
      <c r="M42" s="2812"/>
      <c r="N42" s="2831"/>
      <c r="O42" s="2812"/>
      <c r="P42" s="2812"/>
      <c r="Q42" s="2812"/>
      <c r="R42" s="2812"/>
      <c r="S42" s="2812"/>
      <c r="T42" s="2812"/>
      <c r="U42" s="2828"/>
    </row>
    <row r="43" spans="1:21" ht="13" hidden="1" thickBot="1" x14ac:dyDescent="0.3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2828"/>
      <c r="I43" s="2829"/>
      <c r="J43" s="2830"/>
      <c r="K43" s="2812"/>
      <c r="L43" s="2812"/>
      <c r="M43" s="2812"/>
      <c r="N43" s="2831"/>
      <c r="O43" s="2812"/>
      <c r="P43" s="2812"/>
      <c r="Q43" s="2812"/>
      <c r="R43" s="2812"/>
      <c r="S43" s="2812"/>
      <c r="T43" s="2812"/>
      <c r="U43" s="2828"/>
    </row>
    <row r="44" spans="1:21" ht="13" hidden="1" thickBot="1" x14ac:dyDescent="0.3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2828"/>
      <c r="I44" s="2829"/>
      <c r="J44" s="2830"/>
      <c r="K44" s="2812"/>
      <c r="L44" s="2812"/>
      <c r="M44" s="2812"/>
      <c r="N44" s="2831"/>
      <c r="O44" s="2812"/>
      <c r="P44" s="2812"/>
      <c r="Q44" s="2812"/>
      <c r="R44" s="2812"/>
      <c r="S44" s="2812"/>
      <c r="T44" s="2812"/>
      <c r="U44" s="2828"/>
    </row>
    <row r="45" spans="1:21" ht="13" hidden="1" thickBot="1" x14ac:dyDescent="0.3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2828"/>
      <c r="I45" s="2829"/>
      <c r="J45" s="2832"/>
      <c r="K45" s="2812"/>
      <c r="L45" s="2812"/>
      <c r="M45" s="2812"/>
      <c r="N45" s="2831"/>
      <c r="O45" s="2812"/>
      <c r="P45" s="2812"/>
      <c r="Q45" s="2812"/>
      <c r="R45" s="2812"/>
      <c r="S45" s="2812"/>
      <c r="T45" s="2812"/>
      <c r="U45" s="2828"/>
    </row>
    <row r="46" spans="1:21" ht="21.5" hidden="1" thickBot="1" x14ac:dyDescent="0.3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2833"/>
      <c r="I46" s="2829"/>
      <c r="J46" s="2832"/>
      <c r="K46" s="2834"/>
      <c r="L46" s="2812"/>
      <c r="M46" s="2812"/>
      <c r="N46" s="2835"/>
      <c r="O46" s="2812"/>
      <c r="P46" s="2812"/>
      <c r="Q46" s="2812"/>
      <c r="R46" s="2812"/>
      <c r="S46" s="2812"/>
      <c r="T46" s="2812"/>
      <c r="U46" s="2833"/>
    </row>
    <row r="47" spans="1:21" ht="13" hidden="1" thickBot="1" x14ac:dyDescent="0.3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2833"/>
      <c r="I47" s="2829"/>
      <c r="J47" s="2836"/>
      <c r="K47" s="2834"/>
      <c r="L47" s="2812"/>
      <c r="M47" s="2812"/>
      <c r="N47" s="2835"/>
      <c r="O47" s="2812"/>
      <c r="P47" s="2812"/>
      <c r="Q47" s="2812"/>
      <c r="R47" s="2812"/>
      <c r="S47" s="2812"/>
      <c r="T47" s="2812"/>
      <c r="U47" s="2833"/>
    </row>
    <row r="48" spans="1:21" ht="13" hidden="1" thickBot="1" x14ac:dyDescent="0.3">
      <c r="A48" s="842"/>
      <c r="B48" s="1182"/>
      <c r="C48" s="1183"/>
      <c r="D48" s="409"/>
      <c r="E48" s="409"/>
      <c r="F48" s="409"/>
      <c r="G48" s="1662"/>
      <c r="H48" s="2833"/>
      <c r="I48" s="2829"/>
      <c r="J48" s="2836"/>
      <c r="K48" s="2834"/>
      <c r="L48" s="2812"/>
      <c r="M48" s="2812"/>
      <c r="N48" s="2835"/>
      <c r="O48" s="2812"/>
      <c r="P48" s="2812"/>
      <c r="Q48" s="2812"/>
      <c r="R48" s="2812"/>
      <c r="S48" s="2812"/>
      <c r="T48" s="2812"/>
      <c r="U48" s="2833"/>
    </row>
    <row r="49" spans="1:27" ht="32" hidden="1" thickBot="1" x14ac:dyDescent="0.3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2828">
        <f t="shared" ref="H49:J51" si="1">H50</f>
        <v>0</v>
      </c>
      <c r="I49" s="2829">
        <f t="shared" si="1"/>
        <v>659.56200000000001</v>
      </c>
      <c r="J49" s="2830">
        <f t="shared" si="1"/>
        <v>725.51900000000001</v>
      </c>
      <c r="K49" s="2812"/>
      <c r="L49" s="2812"/>
      <c r="M49" s="2812"/>
      <c r="N49" s="2831"/>
      <c r="O49" s="2812"/>
      <c r="P49" s="2812"/>
      <c r="Q49" s="2812"/>
      <c r="R49" s="2812"/>
      <c r="S49" s="2812"/>
      <c r="T49" s="2812"/>
      <c r="U49" s="2828"/>
    </row>
    <row r="50" spans="1:27" ht="13" hidden="1" thickBot="1" x14ac:dyDescent="0.3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2828">
        <f t="shared" si="1"/>
        <v>0</v>
      </c>
      <c r="I50" s="2829">
        <f t="shared" si="1"/>
        <v>659.56200000000001</v>
      </c>
      <c r="J50" s="2830">
        <f t="shared" si="1"/>
        <v>725.51900000000001</v>
      </c>
      <c r="K50" s="2812"/>
      <c r="L50" s="2812"/>
      <c r="M50" s="2812"/>
      <c r="N50" s="2831"/>
      <c r="O50" s="2812"/>
      <c r="P50" s="2812"/>
      <c r="Q50" s="2812"/>
      <c r="R50" s="2812"/>
      <c r="S50" s="2812"/>
      <c r="T50" s="2812"/>
      <c r="U50" s="2828"/>
    </row>
    <row r="51" spans="1:27" ht="21.5" hidden="1" thickBot="1" x14ac:dyDescent="0.3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2828">
        <f t="shared" si="1"/>
        <v>0</v>
      </c>
      <c r="I51" s="2829">
        <f t="shared" si="1"/>
        <v>659.56200000000001</v>
      </c>
      <c r="J51" s="2830">
        <f t="shared" si="1"/>
        <v>725.51900000000001</v>
      </c>
      <c r="K51" s="2812"/>
      <c r="L51" s="2812"/>
      <c r="M51" s="2812"/>
      <c r="N51" s="2831"/>
      <c r="O51" s="2812"/>
      <c r="P51" s="2812"/>
      <c r="Q51" s="2812"/>
      <c r="R51" s="2812"/>
      <c r="S51" s="2812"/>
      <c r="T51" s="2812"/>
      <c r="U51" s="2828"/>
    </row>
    <row r="52" spans="1:27" ht="13" hidden="1" thickBot="1" x14ac:dyDescent="0.3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2828"/>
      <c r="I52" s="2829">
        <v>659.56200000000001</v>
      </c>
      <c r="J52" s="2832">
        <v>725.51900000000001</v>
      </c>
      <c r="K52" s="2812">
        <v>0</v>
      </c>
      <c r="L52" s="2812"/>
      <c r="M52" s="2812"/>
      <c r="N52" s="2831"/>
      <c r="O52" s="2812"/>
      <c r="P52" s="2812"/>
      <c r="Q52" s="2812"/>
      <c r="R52" s="2812"/>
      <c r="S52" s="2812"/>
      <c r="T52" s="2812"/>
      <c r="U52" s="2828"/>
    </row>
    <row r="53" spans="1:27" ht="21.5" hidden="1" thickBot="1" x14ac:dyDescent="0.3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2824"/>
      <c r="I53" s="2825">
        <f t="shared" ref="H53:J57" si="2">I54</f>
        <v>0</v>
      </c>
      <c r="J53" s="2837">
        <f t="shared" si="2"/>
        <v>0</v>
      </c>
      <c r="K53" s="2812"/>
      <c r="L53" s="2812"/>
      <c r="M53" s="2812"/>
      <c r="N53" s="2827"/>
      <c r="O53" s="2812"/>
      <c r="P53" s="2812"/>
      <c r="Q53" s="2812"/>
      <c r="R53" s="2812"/>
      <c r="S53" s="2812"/>
      <c r="T53" s="2812"/>
      <c r="U53" s="2824"/>
    </row>
    <row r="54" spans="1:27" ht="21.5" hidden="1" thickBot="1" x14ac:dyDescent="0.3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2828">
        <f t="shared" si="2"/>
        <v>0</v>
      </c>
      <c r="I54" s="2829">
        <f t="shared" si="2"/>
        <v>0</v>
      </c>
      <c r="J54" s="2832">
        <f t="shared" si="2"/>
        <v>0</v>
      </c>
      <c r="K54" s="2812"/>
      <c r="L54" s="2812"/>
      <c r="M54" s="2812"/>
      <c r="N54" s="2831">
        <f t="shared" ref="N54:N57" si="3">N55</f>
        <v>0</v>
      </c>
      <c r="O54" s="2812"/>
      <c r="P54" s="2812"/>
      <c r="Q54" s="2812"/>
      <c r="R54" s="2812"/>
      <c r="S54" s="2812"/>
      <c r="T54" s="2812"/>
      <c r="U54" s="2828">
        <f t="shared" ref="U54:U57" si="4">U55</f>
        <v>0</v>
      </c>
    </row>
    <row r="55" spans="1:27" ht="21.5" hidden="1" thickBot="1" x14ac:dyDescent="0.3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2828">
        <f t="shared" si="2"/>
        <v>0</v>
      </c>
      <c r="I55" s="2829">
        <f t="shared" si="2"/>
        <v>0</v>
      </c>
      <c r="J55" s="2832">
        <f t="shared" si="2"/>
        <v>0</v>
      </c>
      <c r="K55" s="2812"/>
      <c r="L55" s="2812"/>
      <c r="M55" s="2812"/>
      <c r="N55" s="2831">
        <f t="shared" si="3"/>
        <v>0</v>
      </c>
      <c r="O55" s="2812"/>
      <c r="P55" s="2812"/>
      <c r="Q55" s="2812"/>
      <c r="R55" s="2812"/>
      <c r="S55" s="2812"/>
      <c r="T55" s="2812"/>
      <c r="U55" s="2828">
        <f t="shared" si="4"/>
        <v>0</v>
      </c>
    </row>
    <row r="56" spans="1:27" ht="13" hidden="1" thickBot="1" x14ac:dyDescent="0.3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2828">
        <f t="shared" si="2"/>
        <v>0</v>
      </c>
      <c r="I56" s="2829">
        <f t="shared" si="2"/>
        <v>0</v>
      </c>
      <c r="J56" s="2832">
        <f t="shared" si="2"/>
        <v>0</v>
      </c>
      <c r="K56" s="2812"/>
      <c r="L56" s="2812"/>
      <c r="M56" s="2812"/>
      <c r="N56" s="2831">
        <f t="shared" si="3"/>
        <v>0</v>
      </c>
      <c r="O56" s="2812"/>
      <c r="P56" s="2812"/>
      <c r="Q56" s="2812"/>
      <c r="R56" s="2812"/>
      <c r="S56" s="2812"/>
      <c r="T56" s="2812"/>
      <c r="U56" s="2828">
        <f t="shared" si="4"/>
        <v>0</v>
      </c>
    </row>
    <row r="57" spans="1:27" ht="21.5" hidden="1" thickBot="1" x14ac:dyDescent="0.3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2828">
        <f t="shared" si="2"/>
        <v>0</v>
      </c>
      <c r="I57" s="2829">
        <f t="shared" si="2"/>
        <v>0</v>
      </c>
      <c r="J57" s="2832">
        <f t="shared" si="2"/>
        <v>0</v>
      </c>
      <c r="K57" s="2812"/>
      <c r="L57" s="2812"/>
      <c r="M57" s="2812"/>
      <c r="N57" s="2831">
        <f t="shared" si="3"/>
        <v>0</v>
      </c>
      <c r="O57" s="2812"/>
      <c r="P57" s="2812"/>
      <c r="Q57" s="2812"/>
      <c r="R57" s="2812"/>
      <c r="S57" s="2812"/>
      <c r="T57" s="2812"/>
      <c r="U57" s="2828">
        <f t="shared" si="4"/>
        <v>0</v>
      </c>
    </row>
    <row r="58" spans="1:27" ht="13" hidden="1" thickBot="1" x14ac:dyDescent="0.3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2838"/>
      <c r="I58" s="2839"/>
      <c r="J58" s="2840"/>
      <c r="K58" s="2812"/>
      <c r="L58" s="2812"/>
      <c r="M58" s="2812"/>
      <c r="N58" s="2841"/>
      <c r="O58" s="2812"/>
      <c r="P58" s="2812"/>
      <c r="Q58" s="2812"/>
      <c r="R58" s="2812"/>
      <c r="S58" s="2812"/>
      <c r="T58" s="2812"/>
      <c r="U58" s="2838"/>
    </row>
    <row r="59" spans="1:27" ht="23.5" hidden="1" thickBot="1" x14ac:dyDescent="0.3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2814">
        <f>H60+H136+H174+H258+H459+H486+H513+H532+H126</f>
        <v>156452.20034000001</v>
      </c>
      <c r="I59" s="2815" t="e">
        <f>I60+I136+I174+I258+I459+I486+I513+I532+I126</f>
        <v>#REF!</v>
      </c>
      <c r="J59" s="2818" t="e">
        <f>J60+J136+J174+J258+J459+J486+J513+J532+J126</f>
        <v>#REF!</v>
      </c>
      <c r="K59" s="2812"/>
      <c r="L59" s="2812"/>
      <c r="M59" s="2812"/>
      <c r="N59" s="2817">
        <f>N60+N136+N174+N258+N459+N486+N513+N532+N126</f>
        <v>103181.743</v>
      </c>
      <c r="O59" s="2812"/>
      <c r="P59" s="2812"/>
      <c r="Q59" s="2812"/>
      <c r="R59" s="2812"/>
      <c r="S59" s="2812"/>
      <c r="T59" s="2812"/>
      <c r="U59" s="2814">
        <f>U60+U136+U174+U258+U459+U486+U513+U532+U126</f>
        <v>97612.633000000002</v>
      </c>
    </row>
    <row r="60" spans="1:27" ht="13" hidden="1" thickBot="1" x14ac:dyDescent="0.3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2809">
        <f>H61+H99+H106+H92</f>
        <v>31246.467000000001</v>
      </c>
      <c r="I60" s="2842">
        <f>I61+I99+I106</f>
        <v>15821.640000000001</v>
      </c>
      <c r="J60" s="2843">
        <f>J61+J99+J106</f>
        <v>16796.02</v>
      </c>
      <c r="K60" s="2812"/>
      <c r="L60" s="2812"/>
      <c r="M60" s="2812"/>
      <c r="N60" s="2813">
        <f>N61+N99+N106+N92</f>
        <v>26739.2055</v>
      </c>
      <c r="O60" s="2812"/>
      <c r="P60" s="2812"/>
      <c r="Q60" s="2812"/>
      <c r="R60" s="2812"/>
      <c r="S60" s="2812"/>
      <c r="T60" s="2812"/>
      <c r="U60" s="2809">
        <f>U61+U99+U106+U92</f>
        <v>27902.480819999997</v>
      </c>
    </row>
    <row r="61" spans="1:27" ht="34.5" x14ac:dyDescent="0.25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2844">
        <f>H62</f>
        <v>27015.472000000002</v>
      </c>
      <c r="I61" s="2845">
        <f>I62</f>
        <v>15223.140000000001</v>
      </c>
      <c r="J61" s="2846">
        <f>J62</f>
        <v>16197.52</v>
      </c>
      <c r="K61" s="2806">
        <f>K67+K69+K71+K74+K77+K84+K91</f>
        <v>17500.908000000003</v>
      </c>
      <c r="L61" s="2806">
        <f>18156.908</f>
        <v>18156.907999999999</v>
      </c>
      <c r="M61" s="2806">
        <f>L61-K61</f>
        <v>655.99999999999636</v>
      </c>
      <c r="N61" s="2847">
        <f>N62</f>
        <v>24239.2055</v>
      </c>
      <c r="O61" s="2806"/>
      <c r="P61" s="2806"/>
      <c r="Q61" s="2806"/>
      <c r="R61" s="2806"/>
      <c r="S61" s="2806"/>
      <c r="T61" s="2806"/>
      <c r="U61" s="2844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2828">
        <f>H63+H80</f>
        <v>27015.472000000002</v>
      </c>
      <c r="I62" s="2829">
        <f>I63+I80</f>
        <v>15223.140000000001</v>
      </c>
      <c r="J62" s="2830">
        <f>J63+J80</f>
        <v>16197.52</v>
      </c>
      <c r="K62" s="2812"/>
      <c r="L62" s="2812"/>
      <c r="M62" s="2812"/>
      <c r="N62" s="2831">
        <f>N63+N80</f>
        <v>24239.2055</v>
      </c>
      <c r="O62" s="2812"/>
      <c r="P62" s="2812"/>
      <c r="Q62" s="2812"/>
      <c r="R62" s="2812"/>
      <c r="S62" s="2812"/>
      <c r="T62" s="2812"/>
      <c r="U62" s="2828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2828">
        <f>H64</f>
        <v>24881.108</v>
      </c>
      <c r="I63" s="2829">
        <f>I64</f>
        <v>13595.477000000001</v>
      </c>
      <c r="J63" s="2830">
        <f>J64</f>
        <v>14414.787</v>
      </c>
      <c r="K63" s="2812"/>
      <c r="L63" s="2812"/>
      <c r="M63" s="2812"/>
      <c r="N63" s="2831">
        <f>N64</f>
        <v>22019.467499999999</v>
      </c>
      <c r="O63" s="2812"/>
      <c r="P63" s="2812"/>
      <c r="Q63" s="2812"/>
      <c r="R63" s="2812"/>
      <c r="S63" s="2812"/>
      <c r="T63" s="2812"/>
      <c r="U63" s="2828">
        <f>U64</f>
        <v>22943.953819999999</v>
      </c>
    </row>
    <row r="64" spans="1:27" x14ac:dyDescent="0.25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2828">
        <f>H65+H72+H75+H78</f>
        <v>24881.108</v>
      </c>
      <c r="I64" s="2829">
        <f>I65+I72+I75+I78</f>
        <v>13595.477000000001</v>
      </c>
      <c r="J64" s="2830">
        <f>J65+J72+J75+J78</f>
        <v>14414.787</v>
      </c>
      <c r="K64" s="2812"/>
      <c r="L64" s="2812"/>
      <c r="M64" s="2812"/>
      <c r="N64" s="2831">
        <f>N65+N72+N75+N78</f>
        <v>22019.467499999999</v>
      </c>
      <c r="O64" s="2812"/>
      <c r="P64" s="2812"/>
      <c r="Q64" s="2812"/>
      <c r="R64" s="2812"/>
      <c r="S64" s="2812"/>
      <c r="T64" s="2812"/>
      <c r="U64" s="2828">
        <f>U65+U72+U75+U78</f>
        <v>22943.953819999999</v>
      </c>
    </row>
    <row r="65" spans="1:31" x14ac:dyDescent="0.25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2828">
        <f>H67+H69+H71</f>
        <v>24508.397000000001</v>
      </c>
      <c r="I65" s="2829">
        <f>I67+I69</f>
        <v>13595.477000000001</v>
      </c>
      <c r="J65" s="2830">
        <f>J67+J69</f>
        <v>14414.787</v>
      </c>
      <c r="K65" s="2812"/>
      <c r="L65" s="2812"/>
      <c r="M65" s="2812"/>
      <c r="N65" s="2831">
        <f>N67+N69+N71</f>
        <v>22019.467499999999</v>
      </c>
      <c r="O65" s="2812"/>
      <c r="P65" s="2812"/>
      <c r="Q65" s="2812"/>
      <c r="R65" s="2812"/>
      <c r="S65" s="2812"/>
      <c r="T65" s="2812"/>
      <c r="U65" s="2828">
        <f>U67+U69+U71</f>
        <v>22943.953819999999</v>
      </c>
    </row>
    <row r="66" spans="1:31" ht="39" x14ac:dyDescent="0.25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2828">
        <f>H67</f>
        <v>21321.070400000001</v>
      </c>
      <c r="I66" s="2829"/>
      <c r="J66" s="2836"/>
      <c r="K66" s="2812"/>
      <c r="L66" s="2812"/>
      <c r="M66" s="2812"/>
      <c r="N66" s="2831">
        <f t="shared" ref="N66:U66" si="5">N67</f>
        <v>19833.96</v>
      </c>
      <c r="O66" s="2812">
        <f t="shared" si="5"/>
        <v>0</v>
      </c>
      <c r="P66" s="2812">
        <f t="shared" si="5"/>
        <v>0</v>
      </c>
      <c r="Q66" s="2812">
        <f t="shared" si="5"/>
        <v>0</v>
      </c>
      <c r="R66" s="2812">
        <f t="shared" si="5"/>
        <v>0</v>
      </c>
      <c r="S66" s="2812">
        <f t="shared" si="5"/>
        <v>0</v>
      </c>
      <c r="T66" s="2812">
        <f t="shared" si="5"/>
        <v>0</v>
      </c>
      <c r="U66" s="2828">
        <f t="shared" si="5"/>
        <v>20627.316999999999</v>
      </c>
    </row>
    <row r="67" spans="1:31" x14ac:dyDescent="0.25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2828">
        <f>19071.116+785.5514+1464.403</f>
        <v>21321.070400000001</v>
      </c>
      <c r="I67" s="2829">
        <v>8998.8070000000007</v>
      </c>
      <c r="J67" s="2832">
        <v>9997.6880000000001</v>
      </c>
      <c r="K67" s="2812">
        <f>11012.345+22.735+0.6+3325.728-618.8</f>
        <v>13742.608</v>
      </c>
      <c r="L67" s="2812"/>
      <c r="M67" s="2812"/>
      <c r="N67" s="2831">
        <v>19833.96</v>
      </c>
      <c r="O67" s="2812"/>
      <c r="P67" s="2812"/>
      <c r="Q67" s="2812"/>
      <c r="R67" s="2812"/>
      <c r="S67" s="2812"/>
      <c r="T67" s="2812"/>
      <c r="U67" s="2828">
        <v>20627.316999999999</v>
      </c>
      <c r="AC67" s="5"/>
      <c r="AD67" s="3007"/>
      <c r="AE67" s="1857"/>
    </row>
    <row r="68" spans="1:31" x14ac:dyDescent="0.25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2828">
        <f>H69</f>
        <v>3186.3265999999999</v>
      </c>
      <c r="I68" s="2829"/>
      <c r="J68" s="2832"/>
      <c r="K68" s="2812"/>
      <c r="L68" s="2812"/>
      <c r="M68" s="2812"/>
      <c r="N68" s="2831">
        <f>N69</f>
        <v>2185.5075000000002</v>
      </c>
      <c r="O68" s="2812"/>
      <c r="P68" s="2812"/>
      <c r="Q68" s="2812"/>
      <c r="R68" s="2812"/>
      <c r="S68" s="2812"/>
      <c r="T68" s="2812"/>
      <c r="U68" s="2828">
        <f>U69</f>
        <v>2316.6368200000002</v>
      </c>
    </row>
    <row r="69" spans="1:31" ht="21" x14ac:dyDescent="0.25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2828">
        <f>2900.435-449.976-309.8-62.911-1-785.5514+1895.13</f>
        <v>3186.3265999999999</v>
      </c>
      <c r="I69" s="2829">
        <v>4596.67</v>
      </c>
      <c r="J69" s="2832">
        <v>4417.0990000000002</v>
      </c>
      <c r="K69" s="2834">
        <f>1845.107-350.262-37.2</f>
        <v>1457.645</v>
      </c>
      <c r="L69" s="2812"/>
      <c r="M69" s="2812"/>
      <c r="N69" s="2831">
        <f>3074.4605-888.953</f>
        <v>2185.5075000000002</v>
      </c>
      <c r="O69" s="2812"/>
      <c r="P69" s="2812"/>
      <c r="Q69" s="2812"/>
      <c r="R69" s="2812"/>
      <c r="S69" s="2812"/>
      <c r="T69" s="2812"/>
      <c r="U69" s="2828">
        <v>2316.6368200000002</v>
      </c>
      <c r="AC69" s="5"/>
      <c r="AD69" s="3007"/>
      <c r="AE69" s="1857"/>
    </row>
    <row r="70" spans="1:31" x14ac:dyDescent="0.25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2828">
        <f t="shared" ref="H70:U70" si="6">H71</f>
        <v>1</v>
      </c>
      <c r="I70" s="2829">
        <f t="shared" si="6"/>
        <v>0</v>
      </c>
      <c r="J70" s="2832">
        <f t="shared" si="6"/>
        <v>0</v>
      </c>
      <c r="K70" s="2834">
        <f t="shared" si="6"/>
        <v>10</v>
      </c>
      <c r="L70" s="2812">
        <f t="shared" si="6"/>
        <v>0</v>
      </c>
      <c r="M70" s="2812">
        <f t="shared" si="6"/>
        <v>0</v>
      </c>
      <c r="N70" s="2831">
        <f t="shared" si="6"/>
        <v>0</v>
      </c>
      <c r="O70" s="2812">
        <f t="shared" si="6"/>
        <v>0</v>
      </c>
      <c r="P70" s="2812">
        <f t="shared" si="6"/>
        <v>0</v>
      </c>
      <c r="Q70" s="2812">
        <f t="shared" si="6"/>
        <v>0</v>
      </c>
      <c r="R70" s="2812">
        <f t="shared" si="6"/>
        <v>0</v>
      </c>
      <c r="S70" s="2812">
        <f t="shared" si="6"/>
        <v>0</v>
      </c>
      <c r="T70" s="2812">
        <f t="shared" si="6"/>
        <v>0</v>
      </c>
      <c r="U70" s="2828">
        <f t="shared" si="6"/>
        <v>0</v>
      </c>
    </row>
    <row r="71" spans="1:31" x14ac:dyDescent="0.25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2828">
        <v>1</v>
      </c>
      <c r="I71" s="2829"/>
      <c r="J71" s="2832"/>
      <c r="K71" s="2834">
        <v>10</v>
      </c>
      <c r="L71" s="2812"/>
      <c r="M71" s="2812"/>
      <c r="N71" s="2831">
        <v>0</v>
      </c>
      <c r="O71" s="2812"/>
      <c r="P71" s="2812"/>
      <c r="Q71" s="2812"/>
      <c r="R71" s="2812"/>
      <c r="S71" s="2812"/>
      <c r="T71" s="2812"/>
      <c r="U71" s="2828">
        <v>0</v>
      </c>
    </row>
    <row r="72" spans="1:31" ht="21" x14ac:dyDescent="0.25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2848">
        <f>H74</f>
        <v>62.911000000000001</v>
      </c>
      <c r="I72" s="2849">
        <f>I74</f>
        <v>0</v>
      </c>
      <c r="J72" s="2850">
        <f>J74</f>
        <v>0</v>
      </c>
      <c r="K72" s="2812"/>
      <c r="L72" s="2812"/>
      <c r="M72" s="2812"/>
      <c r="N72" s="2851">
        <f>N74</f>
        <v>0</v>
      </c>
      <c r="O72" s="2812"/>
      <c r="P72" s="2812"/>
      <c r="Q72" s="2812"/>
      <c r="R72" s="2812"/>
      <c r="S72" s="2812"/>
      <c r="T72" s="2812"/>
      <c r="U72" s="2848">
        <f>U74</f>
        <v>0</v>
      </c>
    </row>
    <row r="73" spans="1:31" x14ac:dyDescent="0.25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2848">
        <f t="shared" ref="H73:U73" si="7">H74</f>
        <v>62.911000000000001</v>
      </c>
      <c r="I73" s="2849">
        <f t="shared" si="7"/>
        <v>0</v>
      </c>
      <c r="J73" s="2850">
        <f t="shared" si="7"/>
        <v>0</v>
      </c>
      <c r="K73" s="2812">
        <f t="shared" si="7"/>
        <v>50.6</v>
      </c>
      <c r="L73" s="2812">
        <f t="shared" si="7"/>
        <v>0</v>
      </c>
      <c r="M73" s="2812">
        <f t="shared" si="7"/>
        <v>0</v>
      </c>
      <c r="N73" s="2851">
        <f t="shared" si="7"/>
        <v>0</v>
      </c>
      <c r="O73" s="2812">
        <f t="shared" si="7"/>
        <v>0</v>
      </c>
      <c r="P73" s="2812">
        <f t="shared" si="7"/>
        <v>0</v>
      </c>
      <c r="Q73" s="2812">
        <f t="shared" si="7"/>
        <v>0</v>
      </c>
      <c r="R73" s="2812">
        <f t="shared" si="7"/>
        <v>0</v>
      </c>
      <c r="S73" s="2812">
        <f t="shared" si="7"/>
        <v>0</v>
      </c>
      <c r="T73" s="2812">
        <f t="shared" si="7"/>
        <v>0</v>
      </c>
      <c r="U73" s="2848">
        <f t="shared" si="7"/>
        <v>0</v>
      </c>
    </row>
    <row r="74" spans="1:31" x14ac:dyDescent="0.25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2848">
        <v>62.911000000000001</v>
      </c>
      <c r="I74" s="2849"/>
      <c r="J74" s="2850"/>
      <c r="K74" s="2812">
        <v>50.6</v>
      </c>
      <c r="L74" s="2812"/>
      <c r="M74" s="2812"/>
      <c r="N74" s="2851">
        <v>0</v>
      </c>
      <c r="O74" s="2812"/>
      <c r="P74" s="2812"/>
      <c r="Q74" s="2812"/>
      <c r="R74" s="2812"/>
      <c r="S74" s="2812"/>
      <c r="T74" s="2812"/>
      <c r="U74" s="2848">
        <v>0</v>
      </c>
    </row>
    <row r="75" spans="1:31" ht="21" x14ac:dyDescent="0.25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2848">
        <f>H77</f>
        <v>309.8</v>
      </c>
      <c r="I75" s="2849">
        <f>I77</f>
        <v>0</v>
      </c>
      <c r="J75" s="2850">
        <f>J77</f>
        <v>0</v>
      </c>
      <c r="K75" s="2812"/>
      <c r="L75" s="2812"/>
      <c r="M75" s="2812"/>
      <c r="N75" s="2851">
        <f>N77</f>
        <v>0</v>
      </c>
      <c r="O75" s="2812"/>
      <c r="P75" s="2812"/>
      <c r="Q75" s="2812"/>
      <c r="R75" s="2812"/>
      <c r="S75" s="2812"/>
      <c r="T75" s="2812"/>
      <c r="U75" s="2848">
        <f>U77</f>
        <v>0</v>
      </c>
    </row>
    <row r="76" spans="1:31" x14ac:dyDescent="0.25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2848">
        <f t="shared" ref="H76:U76" si="8">H77</f>
        <v>309.8</v>
      </c>
      <c r="I76" s="2849">
        <f t="shared" si="8"/>
        <v>0</v>
      </c>
      <c r="J76" s="2850">
        <f t="shared" si="8"/>
        <v>0</v>
      </c>
      <c r="K76" s="2812">
        <f t="shared" si="8"/>
        <v>307.5</v>
      </c>
      <c r="L76" s="2812">
        <f t="shared" si="8"/>
        <v>0</v>
      </c>
      <c r="M76" s="2812">
        <f t="shared" si="8"/>
        <v>0</v>
      </c>
      <c r="N76" s="2851">
        <f t="shared" si="8"/>
        <v>0</v>
      </c>
      <c r="O76" s="2812">
        <f t="shared" si="8"/>
        <v>0</v>
      </c>
      <c r="P76" s="2812">
        <f t="shared" si="8"/>
        <v>0</v>
      </c>
      <c r="Q76" s="2812">
        <f t="shared" si="8"/>
        <v>0</v>
      </c>
      <c r="R76" s="2812">
        <f t="shared" si="8"/>
        <v>0</v>
      </c>
      <c r="S76" s="2812">
        <f t="shared" si="8"/>
        <v>0</v>
      </c>
      <c r="T76" s="2812">
        <f t="shared" si="8"/>
        <v>0</v>
      </c>
      <c r="U76" s="2848">
        <f t="shared" si="8"/>
        <v>0</v>
      </c>
    </row>
    <row r="77" spans="1:31" x14ac:dyDescent="0.25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2848">
        <v>309.8</v>
      </c>
      <c r="I77" s="2849"/>
      <c r="J77" s="2850"/>
      <c r="K77" s="2812">
        <v>307.5</v>
      </c>
      <c r="L77" s="2812"/>
      <c r="M77" s="2812"/>
      <c r="N77" s="2851">
        <v>0</v>
      </c>
      <c r="O77" s="2812"/>
      <c r="P77" s="2812"/>
      <c r="Q77" s="2812"/>
      <c r="R77" s="2812"/>
      <c r="S77" s="2812"/>
      <c r="T77" s="2812"/>
      <c r="U77" s="2848">
        <v>0</v>
      </c>
    </row>
    <row r="78" spans="1:31" ht="0.75" customHeight="1" x14ac:dyDescent="0.25">
      <c r="A78" s="842"/>
      <c r="B78" s="1202" t="s">
        <v>145</v>
      </c>
      <c r="C78" s="1183"/>
      <c r="D78" s="409" t="s">
        <v>456</v>
      </c>
      <c r="E78" s="409" t="s">
        <v>452</v>
      </c>
      <c r="F78" s="409" t="s">
        <v>144</v>
      </c>
      <c r="G78" s="1662"/>
      <c r="H78" s="2848">
        <f>H79</f>
        <v>0</v>
      </c>
      <c r="I78" s="2849">
        <f>I79</f>
        <v>0</v>
      </c>
      <c r="J78" s="2850">
        <f>J79</f>
        <v>0</v>
      </c>
      <c r="K78" s="2812"/>
      <c r="L78" s="2812"/>
      <c r="M78" s="2812"/>
      <c r="N78" s="2851">
        <f>N79</f>
        <v>0</v>
      </c>
      <c r="O78" s="2812"/>
      <c r="P78" s="2812"/>
      <c r="Q78" s="2812"/>
      <c r="R78" s="2812"/>
      <c r="S78" s="2812"/>
      <c r="T78" s="2812"/>
      <c r="U78" s="2848">
        <f>U79</f>
        <v>0</v>
      </c>
    </row>
    <row r="79" spans="1:31" ht="17.25" customHeight="1" x14ac:dyDescent="0.25">
      <c r="A79" s="842"/>
      <c r="B79" s="1182" t="s">
        <v>575</v>
      </c>
      <c r="C79" s="1183"/>
      <c r="D79" s="409" t="s">
        <v>456</v>
      </c>
      <c r="E79" s="409" t="s">
        <v>452</v>
      </c>
      <c r="F79" s="409" t="s">
        <v>144</v>
      </c>
      <c r="G79" s="1662" t="s">
        <v>120</v>
      </c>
      <c r="H79" s="2848">
        <v>0</v>
      </c>
      <c r="I79" s="2849"/>
      <c r="J79" s="2850"/>
      <c r="K79" s="2812"/>
      <c r="L79" s="2812"/>
      <c r="M79" s="2812"/>
      <c r="N79" s="2851">
        <v>0</v>
      </c>
      <c r="O79" s="2812"/>
      <c r="P79" s="2812"/>
      <c r="Q79" s="2812"/>
      <c r="R79" s="2812"/>
      <c r="S79" s="2812"/>
      <c r="T79" s="2812"/>
      <c r="U79" s="2848">
        <v>0</v>
      </c>
    </row>
    <row r="80" spans="1:31" ht="31.5" x14ac:dyDescent="0.25">
      <c r="A80" s="842"/>
      <c r="B80" s="1203" t="s">
        <v>111</v>
      </c>
      <c r="C80" s="1183"/>
      <c r="D80" s="409" t="s">
        <v>456</v>
      </c>
      <c r="E80" s="409" t="s">
        <v>452</v>
      </c>
      <c r="F80" s="1204" t="s">
        <v>110</v>
      </c>
      <c r="G80" s="1662"/>
      <c r="H80" s="2848">
        <f>H81</f>
        <v>2134.364</v>
      </c>
      <c r="I80" s="2849">
        <f t="shared" ref="I80:J81" si="9">I81</f>
        <v>1627.663</v>
      </c>
      <c r="J80" s="2850">
        <f t="shared" si="9"/>
        <v>1782.7329999999999</v>
      </c>
      <c r="K80" s="2812"/>
      <c r="L80" s="2812"/>
      <c r="M80" s="2812"/>
      <c r="N80" s="2851">
        <f>N81</f>
        <v>2219.7379999999998</v>
      </c>
      <c r="O80" s="2812"/>
      <c r="P80" s="2812"/>
      <c r="Q80" s="2812"/>
      <c r="R80" s="2812"/>
      <c r="S80" s="2812"/>
      <c r="T80" s="2812"/>
      <c r="U80" s="2848">
        <f>U81</f>
        <v>2308.527</v>
      </c>
    </row>
    <row r="81" spans="1:21" x14ac:dyDescent="0.25">
      <c r="A81" s="842"/>
      <c r="B81" s="1197" t="s">
        <v>109</v>
      </c>
      <c r="C81" s="1183"/>
      <c r="D81" s="409" t="s">
        <v>456</v>
      </c>
      <c r="E81" s="409" t="s">
        <v>452</v>
      </c>
      <c r="F81" s="1204" t="s">
        <v>108</v>
      </c>
      <c r="G81" s="1662"/>
      <c r="H81" s="2848">
        <f>H82</f>
        <v>2134.364</v>
      </c>
      <c r="I81" s="2849">
        <f t="shared" si="9"/>
        <v>1627.663</v>
      </c>
      <c r="J81" s="2850">
        <f t="shared" si="9"/>
        <v>1782.7329999999999</v>
      </c>
      <c r="K81" s="2812"/>
      <c r="L81" s="2812"/>
      <c r="M81" s="2812"/>
      <c r="N81" s="2851">
        <f>N82</f>
        <v>2219.7379999999998</v>
      </c>
      <c r="O81" s="2812"/>
      <c r="P81" s="2812"/>
      <c r="Q81" s="2812"/>
      <c r="R81" s="2812"/>
      <c r="S81" s="2812"/>
      <c r="T81" s="2812"/>
      <c r="U81" s="2848">
        <f>U82</f>
        <v>2308.527</v>
      </c>
    </row>
    <row r="82" spans="1:21" ht="21" x14ac:dyDescent="0.25">
      <c r="A82" s="842"/>
      <c r="B82" s="1205" t="s">
        <v>107</v>
      </c>
      <c r="C82" s="1183"/>
      <c r="D82" s="409" t="s">
        <v>456</v>
      </c>
      <c r="E82" s="409" t="s">
        <v>452</v>
      </c>
      <c r="F82" s="1204" t="s">
        <v>104</v>
      </c>
      <c r="G82" s="1662"/>
      <c r="H82" s="2848">
        <f>H84</f>
        <v>2134.364</v>
      </c>
      <c r="I82" s="2849">
        <f>I84</f>
        <v>1627.663</v>
      </c>
      <c r="J82" s="2850">
        <f>J84</f>
        <v>1782.7329999999999</v>
      </c>
      <c r="K82" s="2812"/>
      <c r="L82" s="2812"/>
      <c r="M82" s="2812"/>
      <c r="N82" s="2851">
        <f>N84</f>
        <v>2219.7379999999998</v>
      </c>
      <c r="O82" s="2812"/>
      <c r="P82" s="2812"/>
      <c r="Q82" s="2812"/>
      <c r="R82" s="2812"/>
      <c r="S82" s="2812"/>
      <c r="T82" s="2812"/>
      <c r="U82" s="2848">
        <f>U84</f>
        <v>2308.527</v>
      </c>
    </row>
    <row r="83" spans="1:21" ht="39" x14ac:dyDescent="0.25">
      <c r="A83" s="842"/>
      <c r="B83" s="49" t="s">
        <v>1063</v>
      </c>
      <c r="C83" s="1183"/>
      <c r="D83" s="409" t="s">
        <v>456</v>
      </c>
      <c r="E83" s="409" t="s">
        <v>452</v>
      </c>
      <c r="F83" s="1204" t="s">
        <v>104</v>
      </c>
      <c r="G83" s="1662" t="s">
        <v>1062</v>
      </c>
      <c r="H83" s="2848">
        <f t="shared" ref="H83:U83" si="10">H84</f>
        <v>2134.364</v>
      </c>
      <c r="I83" s="2849">
        <f t="shared" si="10"/>
        <v>1627.663</v>
      </c>
      <c r="J83" s="2850">
        <f t="shared" si="10"/>
        <v>1782.7329999999999</v>
      </c>
      <c r="K83" s="2812">
        <f t="shared" si="10"/>
        <v>1512.6</v>
      </c>
      <c r="L83" s="2812">
        <f t="shared" si="10"/>
        <v>0</v>
      </c>
      <c r="M83" s="2812">
        <f t="shared" si="10"/>
        <v>0</v>
      </c>
      <c r="N83" s="2851">
        <f t="shared" si="10"/>
        <v>2219.7379999999998</v>
      </c>
      <c r="O83" s="2812">
        <f t="shared" si="10"/>
        <v>0</v>
      </c>
      <c r="P83" s="2812">
        <f t="shared" si="10"/>
        <v>0</v>
      </c>
      <c r="Q83" s="2812">
        <f t="shared" si="10"/>
        <v>0</v>
      </c>
      <c r="R83" s="2812">
        <f t="shared" si="10"/>
        <v>0</v>
      </c>
      <c r="S83" s="2812">
        <f t="shared" si="10"/>
        <v>0</v>
      </c>
      <c r="T83" s="2812">
        <f t="shared" si="10"/>
        <v>0</v>
      </c>
      <c r="U83" s="2848">
        <f t="shared" si="10"/>
        <v>2308.527</v>
      </c>
    </row>
    <row r="84" spans="1:21" x14ac:dyDescent="0.25">
      <c r="A84" s="842"/>
      <c r="B84" s="1182" t="s">
        <v>571</v>
      </c>
      <c r="C84" s="1183"/>
      <c r="D84" s="409" t="s">
        <v>456</v>
      </c>
      <c r="E84" s="409" t="s">
        <v>452</v>
      </c>
      <c r="F84" s="1204" t="s">
        <v>104</v>
      </c>
      <c r="G84" s="1662" t="s">
        <v>5</v>
      </c>
      <c r="H84" s="2848">
        <v>2134.364</v>
      </c>
      <c r="I84" s="2849">
        <v>1627.663</v>
      </c>
      <c r="J84" s="2850">
        <v>1782.7329999999999</v>
      </c>
      <c r="K84" s="2812">
        <f>1161.751+350.849</f>
        <v>1512.6</v>
      </c>
      <c r="L84" s="2812"/>
      <c r="M84" s="2812"/>
      <c r="N84" s="2851">
        <v>2219.7379999999998</v>
      </c>
      <c r="O84" s="2812"/>
      <c r="P84" s="2812"/>
      <c r="Q84" s="2812"/>
      <c r="R84" s="2812"/>
      <c r="S84" s="2812"/>
      <c r="T84" s="2812"/>
      <c r="U84" s="2848">
        <v>2308.527</v>
      </c>
    </row>
    <row r="85" spans="1:21" s="760" customFormat="1" ht="23" x14ac:dyDescent="0.3">
      <c r="A85" s="842"/>
      <c r="B85" s="1206" t="s">
        <v>122</v>
      </c>
      <c r="C85" s="1207"/>
      <c r="D85" s="408" t="s">
        <v>456</v>
      </c>
      <c r="E85" s="408" t="s">
        <v>585</v>
      </c>
      <c r="F85" s="763"/>
      <c r="G85" s="1661"/>
      <c r="H85" s="2852">
        <f>H86</f>
        <v>449.976</v>
      </c>
      <c r="I85" s="2853"/>
      <c r="J85" s="2854"/>
      <c r="K85" s="2855"/>
      <c r="L85" s="2855"/>
      <c r="M85" s="2855"/>
      <c r="N85" s="2856">
        <f t="shared" ref="N85:U88" si="11">N86</f>
        <v>0</v>
      </c>
      <c r="O85" s="2855">
        <f t="shared" si="11"/>
        <v>0</v>
      </c>
      <c r="P85" s="2855">
        <f t="shared" si="11"/>
        <v>0</v>
      </c>
      <c r="Q85" s="2855">
        <f t="shared" si="11"/>
        <v>0</v>
      </c>
      <c r="R85" s="2855">
        <f t="shared" si="11"/>
        <v>0</v>
      </c>
      <c r="S85" s="2855">
        <f t="shared" si="11"/>
        <v>0</v>
      </c>
      <c r="T85" s="2855">
        <f t="shared" si="11"/>
        <v>0</v>
      </c>
      <c r="U85" s="2852">
        <f t="shared" si="11"/>
        <v>0</v>
      </c>
    </row>
    <row r="86" spans="1:21" ht="21" x14ac:dyDescent="0.25">
      <c r="A86" s="842"/>
      <c r="B86" s="1209" t="s">
        <v>588</v>
      </c>
      <c r="C86" s="1183"/>
      <c r="D86" s="409" t="s">
        <v>456</v>
      </c>
      <c r="E86" s="409" t="s">
        <v>585</v>
      </c>
      <c r="F86" s="1204" t="s">
        <v>157</v>
      </c>
      <c r="G86" s="1662"/>
      <c r="H86" s="2848">
        <f>H87</f>
        <v>449.976</v>
      </c>
      <c r="I86" s="2849"/>
      <c r="J86" s="2850"/>
      <c r="K86" s="2812"/>
      <c r="L86" s="2812"/>
      <c r="M86" s="2812"/>
      <c r="N86" s="2851">
        <f t="shared" si="11"/>
        <v>0</v>
      </c>
      <c r="O86" s="2812">
        <f t="shared" si="11"/>
        <v>0</v>
      </c>
      <c r="P86" s="2812">
        <f t="shared" si="11"/>
        <v>0</v>
      </c>
      <c r="Q86" s="2812">
        <f t="shared" si="11"/>
        <v>0</v>
      </c>
      <c r="R86" s="2812">
        <f t="shared" si="11"/>
        <v>0</v>
      </c>
      <c r="S86" s="2812">
        <f t="shared" si="11"/>
        <v>0</v>
      </c>
      <c r="T86" s="2812">
        <f t="shared" si="11"/>
        <v>0</v>
      </c>
      <c r="U86" s="2848">
        <f t="shared" si="11"/>
        <v>0</v>
      </c>
    </row>
    <row r="87" spans="1:21" ht="21" x14ac:dyDescent="0.25">
      <c r="A87" s="842"/>
      <c r="B87" s="1209" t="s">
        <v>587</v>
      </c>
      <c r="C87" s="1183"/>
      <c r="D87" s="409" t="s">
        <v>456</v>
      </c>
      <c r="E87" s="409" t="s">
        <v>585</v>
      </c>
      <c r="F87" s="1204" t="s">
        <v>155</v>
      </c>
      <c r="G87" s="1662"/>
      <c r="H87" s="2848">
        <f>H88</f>
        <v>449.976</v>
      </c>
      <c r="I87" s="2849"/>
      <c r="J87" s="2850"/>
      <c r="K87" s="2812"/>
      <c r="L87" s="2812"/>
      <c r="M87" s="2812"/>
      <c r="N87" s="2851">
        <f t="shared" si="11"/>
        <v>0</v>
      </c>
      <c r="O87" s="2812">
        <f t="shared" si="11"/>
        <v>0</v>
      </c>
      <c r="P87" s="2812">
        <f t="shared" si="11"/>
        <v>0</v>
      </c>
      <c r="Q87" s="2812">
        <f t="shared" si="11"/>
        <v>0</v>
      </c>
      <c r="R87" s="2812">
        <f t="shared" si="11"/>
        <v>0</v>
      </c>
      <c r="S87" s="2812">
        <f t="shared" si="11"/>
        <v>0</v>
      </c>
      <c r="T87" s="2812">
        <f t="shared" si="11"/>
        <v>0</v>
      </c>
      <c r="U87" s="2848">
        <f t="shared" si="11"/>
        <v>0</v>
      </c>
    </row>
    <row r="88" spans="1:21" x14ac:dyDescent="0.25">
      <c r="A88" s="842"/>
      <c r="B88" s="1209" t="s">
        <v>582</v>
      </c>
      <c r="C88" s="1183"/>
      <c r="D88" s="409" t="s">
        <v>456</v>
      </c>
      <c r="E88" s="409" t="s">
        <v>585</v>
      </c>
      <c r="F88" s="1204" t="s">
        <v>154</v>
      </c>
      <c r="G88" s="1662"/>
      <c r="H88" s="2848">
        <f>H89</f>
        <v>449.976</v>
      </c>
      <c r="I88" s="2849"/>
      <c r="J88" s="2850"/>
      <c r="K88" s="2812"/>
      <c r="L88" s="2812"/>
      <c r="M88" s="2812"/>
      <c r="N88" s="2851">
        <f t="shared" si="11"/>
        <v>0</v>
      </c>
      <c r="O88" s="2812">
        <f t="shared" si="11"/>
        <v>0</v>
      </c>
      <c r="P88" s="2812">
        <f t="shared" si="11"/>
        <v>0</v>
      </c>
      <c r="Q88" s="2812">
        <f t="shared" si="11"/>
        <v>0</v>
      </c>
      <c r="R88" s="2812">
        <f t="shared" si="11"/>
        <v>0</v>
      </c>
      <c r="S88" s="2812">
        <f t="shared" si="11"/>
        <v>0</v>
      </c>
      <c r="T88" s="2812">
        <f t="shared" si="11"/>
        <v>0</v>
      </c>
      <c r="U88" s="2848">
        <f t="shared" si="11"/>
        <v>0</v>
      </c>
    </row>
    <row r="89" spans="1:21" ht="21" x14ac:dyDescent="0.25">
      <c r="A89" s="842"/>
      <c r="B89" s="1209" t="s">
        <v>586</v>
      </c>
      <c r="C89" s="1183"/>
      <c r="D89" s="409" t="s">
        <v>456</v>
      </c>
      <c r="E89" s="409" t="s">
        <v>585</v>
      </c>
      <c r="F89" s="1204" t="s">
        <v>129</v>
      </c>
      <c r="G89" s="1662"/>
      <c r="H89" s="2848">
        <f>H91</f>
        <v>449.976</v>
      </c>
      <c r="I89" s="2849"/>
      <c r="J89" s="2850"/>
      <c r="K89" s="2812"/>
      <c r="L89" s="2812"/>
      <c r="M89" s="2812"/>
      <c r="N89" s="2851">
        <f t="shared" ref="N89:U89" si="12">N91</f>
        <v>0</v>
      </c>
      <c r="O89" s="2812">
        <f t="shared" si="12"/>
        <v>0</v>
      </c>
      <c r="P89" s="2812">
        <f t="shared" si="12"/>
        <v>0</v>
      </c>
      <c r="Q89" s="2812">
        <f t="shared" si="12"/>
        <v>0</v>
      </c>
      <c r="R89" s="2812">
        <f t="shared" si="12"/>
        <v>0</v>
      </c>
      <c r="S89" s="2812">
        <f t="shared" si="12"/>
        <v>0</v>
      </c>
      <c r="T89" s="2812">
        <f t="shared" si="12"/>
        <v>0</v>
      </c>
      <c r="U89" s="2848">
        <f t="shared" si="12"/>
        <v>0</v>
      </c>
    </row>
    <row r="90" spans="1:21" x14ac:dyDescent="0.25">
      <c r="A90" s="842"/>
      <c r="B90" s="1209" t="s">
        <v>1069</v>
      </c>
      <c r="C90" s="1183"/>
      <c r="D90" s="409" t="s">
        <v>456</v>
      </c>
      <c r="E90" s="409" t="s">
        <v>585</v>
      </c>
      <c r="F90" s="1204" t="s">
        <v>129</v>
      </c>
      <c r="G90" s="1662" t="s">
        <v>1066</v>
      </c>
      <c r="H90" s="2848">
        <f t="shared" ref="H90:U90" si="13">H91</f>
        <v>449.976</v>
      </c>
      <c r="I90" s="2849">
        <f t="shared" si="13"/>
        <v>0</v>
      </c>
      <c r="J90" s="2850">
        <f t="shared" si="13"/>
        <v>0</v>
      </c>
      <c r="K90" s="2812">
        <f t="shared" si="13"/>
        <v>419.95499999999998</v>
      </c>
      <c r="L90" s="2812">
        <f t="shared" si="13"/>
        <v>0</v>
      </c>
      <c r="M90" s="2812">
        <f t="shared" si="13"/>
        <v>0</v>
      </c>
      <c r="N90" s="2851">
        <f t="shared" si="13"/>
        <v>0</v>
      </c>
      <c r="O90" s="2812">
        <f t="shared" si="13"/>
        <v>0</v>
      </c>
      <c r="P90" s="2812">
        <f t="shared" si="13"/>
        <v>0</v>
      </c>
      <c r="Q90" s="2812">
        <f t="shared" si="13"/>
        <v>0</v>
      </c>
      <c r="R90" s="2812">
        <f t="shared" si="13"/>
        <v>0</v>
      </c>
      <c r="S90" s="2812">
        <f t="shared" si="13"/>
        <v>0</v>
      </c>
      <c r="T90" s="2812">
        <f t="shared" si="13"/>
        <v>0</v>
      </c>
      <c r="U90" s="2848">
        <f t="shared" si="13"/>
        <v>0</v>
      </c>
    </row>
    <row r="91" spans="1:21" x14ac:dyDescent="0.25">
      <c r="A91" s="842"/>
      <c r="B91" s="1198" t="s">
        <v>575</v>
      </c>
      <c r="C91" s="1183"/>
      <c r="D91" s="409" t="s">
        <v>456</v>
      </c>
      <c r="E91" s="409" t="s">
        <v>585</v>
      </c>
      <c r="F91" s="1204" t="s">
        <v>129</v>
      </c>
      <c r="G91" s="1662" t="s">
        <v>120</v>
      </c>
      <c r="H91" s="2848">
        <v>449.976</v>
      </c>
      <c r="I91" s="2849"/>
      <c r="J91" s="2850"/>
      <c r="K91" s="2812">
        <v>419.95499999999998</v>
      </c>
      <c r="L91" s="2812"/>
      <c r="M91" s="2812"/>
      <c r="N91" s="2851">
        <v>0</v>
      </c>
      <c r="O91" s="2812"/>
      <c r="P91" s="2812"/>
      <c r="Q91" s="2812"/>
      <c r="R91" s="2812"/>
      <c r="S91" s="2812"/>
      <c r="T91" s="2812"/>
      <c r="U91" s="2848">
        <v>0</v>
      </c>
    </row>
    <row r="92" spans="1:21" s="760" customFormat="1" ht="0.75" customHeight="1" x14ac:dyDescent="0.3">
      <c r="A92" s="842"/>
      <c r="B92" s="1210" t="s">
        <v>419</v>
      </c>
      <c r="C92" s="408"/>
      <c r="D92" s="408" t="s">
        <v>456</v>
      </c>
      <c r="E92" s="408" t="s">
        <v>506</v>
      </c>
      <c r="F92" s="763"/>
      <c r="G92" s="1661"/>
      <c r="H92" s="2852">
        <f>H93</f>
        <v>0</v>
      </c>
      <c r="I92" s="2853"/>
      <c r="J92" s="2854"/>
      <c r="K92" s="2855"/>
      <c r="L92" s="2855"/>
      <c r="M92" s="2855"/>
      <c r="N92" s="2856">
        <f>N93</f>
        <v>0</v>
      </c>
      <c r="O92" s="2855"/>
      <c r="P92" s="2855"/>
      <c r="Q92" s="2855"/>
      <c r="R92" s="2855"/>
      <c r="S92" s="2855"/>
      <c r="T92" s="2855"/>
      <c r="U92" s="2852">
        <f>U93</f>
        <v>0</v>
      </c>
    </row>
    <row r="93" spans="1:21" ht="21" hidden="1" x14ac:dyDescent="0.25">
      <c r="A93" s="1179"/>
      <c r="B93" s="762" t="s">
        <v>499</v>
      </c>
      <c r="C93" s="409"/>
      <c r="D93" s="409" t="s">
        <v>456</v>
      </c>
      <c r="E93" s="409" t="s">
        <v>506</v>
      </c>
      <c r="F93" s="409" t="s">
        <v>89</v>
      </c>
      <c r="G93" s="1662"/>
      <c r="H93" s="2848">
        <f>H94</f>
        <v>0</v>
      </c>
      <c r="I93" s="2849"/>
      <c r="J93" s="2850"/>
      <c r="K93" s="2812"/>
      <c r="L93" s="2812"/>
      <c r="M93" s="2812"/>
      <c r="N93" s="2851">
        <f>N94</f>
        <v>0</v>
      </c>
      <c r="O93" s="2812"/>
      <c r="P93" s="2812"/>
      <c r="Q93" s="2812"/>
      <c r="R93" s="2812"/>
      <c r="S93" s="2812"/>
      <c r="T93" s="2812"/>
      <c r="U93" s="2848">
        <f>U94</f>
        <v>0</v>
      </c>
    </row>
    <row r="94" spans="1:21" hidden="1" x14ac:dyDescent="0.25">
      <c r="A94" s="842"/>
      <c r="B94" s="709" t="s">
        <v>109</v>
      </c>
      <c r="C94" s="409"/>
      <c r="D94" s="409" t="s">
        <v>456</v>
      </c>
      <c r="E94" s="409" t="s">
        <v>506</v>
      </c>
      <c r="F94" s="409" t="s">
        <v>581</v>
      </c>
      <c r="G94" s="1662"/>
      <c r="H94" s="2848">
        <f>H95</f>
        <v>0</v>
      </c>
      <c r="I94" s="2849"/>
      <c r="J94" s="2850"/>
      <c r="K94" s="2812"/>
      <c r="L94" s="2812"/>
      <c r="M94" s="2812"/>
      <c r="N94" s="2851">
        <f>N95</f>
        <v>0</v>
      </c>
      <c r="O94" s="2812"/>
      <c r="P94" s="2812"/>
      <c r="Q94" s="2812"/>
      <c r="R94" s="2812"/>
      <c r="S94" s="2812"/>
      <c r="T94" s="2812"/>
      <c r="U94" s="2848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82</v>
      </c>
      <c r="G95" s="1662"/>
      <c r="H95" s="2848">
        <f>H96</f>
        <v>0</v>
      </c>
      <c r="I95" s="2849"/>
      <c r="J95" s="2850"/>
      <c r="K95" s="2812"/>
      <c r="L95" s="2812"/>
      <c r="M95" s="2812"/>
      <c r="N95" s="2851">
        <f>N96</f>
        <v>0</v>
      </c>
      <c r="O95" s="2812"/>
      <c r="P95" s="2812"/>
      <c r="Q95" s="2812"/>
      <c r="R95" s="2812"/>
      <c r="S95" s="2812"/>
      <c r="T95" s="2812"/>
      <c r="U95" s="2848">
        <f>U96</f>
        <v>0</v>
      </c>
    </row>
    <row r="96" spans="1:21" ht="21" hidden="1" x14ac:dyDescent="0.25">
      <c r="A96" s="842"/>
      <c r="B96" s="1209" t="s">
        <v>788</v>
      </c>
      <c r="C96" s="409"/>
      <c r="D96" s="409" t="s">
        <v>456</v>
      </c>
      <c r="E96" s="409" t="s">
        <v>506</v>
      </c>
      <c r="F96" s="409" t="s">
        <v>1104</v>
      </c>
      <c r="G96" s="1662"/>
      <c r="H96" s="2848">
        <f>H98</f>
        <v>0</v>
      </c>
      <c r="I96" s="2849"/>
      <c r="J96" s="2850"/>
      <c r="K96" s="2812"/>
      <c r="L96" s="2812"/>
      <c r="M96" s="2812"/>
      <c r="N96" s="2851">
        <f>N98</f>
        <v>0</v>
      </c>
      <c r="O96" s="2812"/>
      <c r="P96" s="2812"/>
      <c r="Q96" s="2812"/>
      <c r="R96" s="2812"/>
      <c r="S96" s="2812"/>
      <c r="T96" s="2812"/>
      <c r="U96" s="2848">
        <f>U98</f>
        <v>0</v>
      </c>
    </row>
    <row r="97" spans="1:21" hidden="1" x14ac:dyDescent="0.25">
      <c r="A97" s="842"/>
      <c r="B97" s="753" t="s">
        <v>948</v>
      </c>
      <c r="C97" s="409"/>
      <c r="D97" s="409" t="s">
        <v>456</v>
      </c>
      <c r="E97" s="409" t="s">
        <v>506</v>
      </c>
      <c r="F97" s="409" t="s">
        <v>1104</v>
      </c>
      <c r="G97" s="1662" t="s">
        <v>955</v>
      </c>
      <c r="H97" s="2848">
        <f t="shared" ref="H97:U97" si="14">H98</f>
        <v>0</v>
      </c>
      <c r="I97" s="2849">
        <f t="shared" si="14"/>
        <v>0</v>
      </c>
      <c r="J97" s="2850">
        <f t="shared" si="14"/>
        <v>0</v>
      </c>
      <c r="K97" s="2812">
        <f t="shared" si="14"/>
        <v>0</v>
      </c>
      <c r="L97" s="2812">
        <f t="shared" si="14"/>
        <v>0</v>
      </c>
      <c r="M97" s="2812">
        <f t="shared" si="14"/>
        <v>0</v>
      </c>
      <c r="N97" s="2851">
        <f t="shared" si="14"/>
        <v>0</v>
      </c>
      <c r="O97" s="2812">
        <f t="shared" si="14"/>
        <v>0</v>
      </c>
      <c r="P97" s="2812">
        <f t="shared" si="14"/>
        <v>0</v>
      </c>
      <c r="Q97" s="2812">
        <f t="shared" si="14"/>
        <v>0</v>
      </c>
      <c r="R97" s="2812">
        <f t="shared" si="14"/>
        <v>0</v>
      </c>
      <c r="S97" s="2812">
        <f t="shared" si="14"/>
        <v>0</v>
      </c>
      <c r="T97" s="2812">
        <f t="shared" si="14"/>
        <v>0</v>
      </c>
      <c r="U97" s="2848">
        <f t="shared" si="14"/>
        <v>0</v>
      </c>
    </row>
    <row r="98" spans="1:21" ht="21" hidden="1" x14ac:dyDescent="0.25">
      <c r="A98" s="842"/>
      <c r="B98" s="1182" t="s">
        <v>454</v>
      </c>
      <c r="C98" s="409"/>
      <c r="D98" s="409" t="s">
        <v>456</v>
      </c>
      <c r="E98" s="409" t="s">
        <v>506</v>
      </c>
      <c r="F98" s="409" t="s">
        <v>1104</v>
      </c>
      <c r="G98" s="1662" t="s">
        <v>1</v>
      </c>
      <c r="H98" s="2848"/>
      <c r="I98" s="2849"/>
      <c r="J98" s="2850"/>
      <c r="K98" s="2812"/>
      <c r="L98" s="2812"/>
      <c r="M98" s="2812"/>
      <c r="N98" s="2851">
        <v>0</v>
      </c>
      <c r="O98" s="2812"/>
      <c r="P98" s="2812"/>
      <c r="Q98" s="2812"/>
      <c r="R98" s="2812"/>
      <c r="S98" s="2812"/>
      <c r="T98" s="2812"/>
      <c r="U98" s="2848">
        <v>0</v>
      </c>
    </row>
    <row r="99" spans="1:21" x14ac:dyDescent="0.25">
      <c r="A99" s="842"/>
      <c r="B99" s="1184" t="s">
        <v>68</v>
      </c>
      <c r="C99" s="1177"/>
      <c r="D99" s="408" t="s">
        <v>456</v>
      </c>
      <c r="E99" s="408" t="s">
        <v>464</v>
      </c>
      <c r="F99" s="408"/>
      <c r="G99" s="1661"/>
      <c r="H99" s="2852">
        <f t="shared" ref="H99:J102" si="15">H100</f>
        <v>2400</v>
      </c>
      <c r="I99" s="2853">
        <f t="shared" si="15"/>
        <v>0</v>
      </c>
      <c r="J99" s="2854">
        <f t="shared" si="15"/>
        <v>0</v>
      </c>
      <c r="K99" s="2812"/>
      <c r="L99" s="2812"/>
      <c r="M99" s="2812"/>
      <c r="N99" s="2856">
        <f t="shared" ref="N99:N102" si="16">N100</f>
        <v>2500</v>
      </c>
      <c r="O99" s="2812"/>
      <c r="P99" s="2812"/>
      <c r="Q99" s="2812"/>
      <c r="R99" s="2812"/>
      <c r="S99" s="2812"/>
      <c r="T99" s="2812"/>
      <c r="U99" s="2852">
        <f t="shared" ref="U99:U102" si="17">U100</f>
        <v>2650</v>
      </c>
    </row>
    <row r="100" spans="1:21" ht="21" x14ac:dyDescent="0.25">
      <c r="A100" s="1179"/>
      <c r="B100" s="753" t="s">
        <v>499</v>
      </c>
      <c r="C100" s="1180"/>
      <c r="D100" s="409" t="s">
        <v>456</v>
      </c>
      <c r="E100" s="409" t="s">
        <v>464</v>
      </c>
      <c r="F100" s="409" t="s">
        <v>89</v>
      </c>
      <c r="G100" s="1662"/>
      <c r="H100" s="2848">
        <f t="shared" si="15"/>
        <v>2400</v>
      </c>
      <c r="I100" s="2849">
        <f t="shared" si="15"/>
        <v>0</v>
      </c>
      <c r="J100" s="2850">
        <f t="shared" si="15"/>
        <v>0</v>
      </c>
      <c r="K100" s="2812"/>
      <c r="L100" s="2812"/>
      <c r="M100" s="2812"/>
      <c r="N100" s="2851">
        <f t="shared" si="16"/>
        <v>2500</v>
      </c>
      <c r="O100" s="2812"/>
      <c r="P100" s="2812"/>
      <c r="Q100" s="2812"/>
      <c r="R100" s="2812"/>
      <c r="S100" s="2812"/>
      <c r="T100" s="2812"/>
      <c r="U100" s="2848">
        <f t="shared" si="17"/>
        <v>2650</v>
      </c>
    </row>
    <row r="101" spans="1:21" x14ac:dyDescent="0.25">
      <c r="A101" s="842"/>
      <c r="B101" s="1180" t="s">
        <v>109</v>
      </c>
      <c r="C101" s="1180"/>
      <c r="D101" s="409" t="s">
        <v>456</v>
      </c>
      <c r="E101" s="409" t="s">
        <v>464</v>
      </c>
      <c r="F101" s="409" t="s">
        <v>581</v>
      </c>
      <c r="G101" s="1662"/>
      <c r="H101" s="2848">
        <f t="shared" si="15"/>
        <v>2400</v>
      </c>
      <c r="I101" s="2849">
        <f t="shared" si="15"/>
        <v>0</v>
      </c>
      <c r="J101" s="2850">
        <f t="shared" si="15"/>
        <v>0</v>
      </c>
      <c r="K101" s="2812"/>
      <c r="L101" s="2812"/>
      <c r="M101" s="2812"/>
      <c r="N101" s="2851">
        <f t="shared" si="16"/>
        <v>2500</v>
      </c>
      <c r="O101" s="2812"/>
      <c r="P101" s="2812"/>
      <c r="Q101" s="2812"/>
      <c r="R101" s="2812"/>
      <c r="S101" s="2812"/>
      <c r="T101" s="2812"/>
      <c r="U101" s="2848">
        <f t="shared" si="17"/>
        <v>2650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82</v>
      </c>
      <c r="G102" s="1662"/>
      <c r="H102" s="2848">
        <f t="shared" si="15"/>
        <v>2400</v>
      </c>
      <c r="I102" s="2849">
        <f t="shared" si="15"/>
        <v>0</v>
      </c>
      <c r="J102" s="2850">
        <f t="shared" si="15"/>
        <v>0</v>
      </c>
      <c r="K102" s="2812"/>
      <c r="L102" s="2812"/>
      <c r="M102" s="2812"/>
      <c r="N102" s="2851">
        <f t="shared" si="16"/>
        <v>2500</v>
      </c>
      <c r="O102" s="2812"/>
      <c r="P102" s="2812"/>
      <c r="Q102" s="2812"/>
      <c r="R102" s="2812"/>
      <c r="S102" s="2812"/>
      <c r="T102" s="2812"/>
      <c r="U102" s="2848">
        <f t="shared" si="17"/>
        <v>2650</v>
      </c>
    </row>
    <row r="103" spans="1:21" ht="21" x14ac:dyDescent="0.25">
      <c r="A103" s="842"/>
      <c r="B103" s="1180" t="s">
        <v>72</v>
      </c>
      <c r="C103" s="1180"/>
      <c r="D103" s="409" t="s">
        <v>456</v>
      </c>
      <c r="E103" s="409" t="s">
        <v>464</v>
      </c>
      <c r="F103" s="409" t="s">
        <v>67</v>
      </c>
      <c r="G103" s="1662"/>
      <c r="H103" s="2848">
        <f>H105</f>
        <v>2400</v>
      </c>
      <c r="I103" s="2849">
        <f>I105</f>
        <v>0</v>
      </c>
      <c r="J103" s="2850">
        <f>J105</f>
        <v>0</v>
      </c>
      <c r="K103" s="2812"/>
      <c r="L103" s="2812"/>
      <c r="M103" s="2812"/>
      <c r="N103" s="2851">
        <f>N105</f>
        <v>2500</v>
      </c>
      <c r="O103" s="2812"/>
      <c r="P103" s="2812"/>
      <c r="Q103" s="2812"/>
      <c r="R103" s="2812"/>
      <c r="S103" s="2812"/>
      <c r="T103" s="2812"/>
      <c r="U103" s="2848">
        <f>U105</f>
        <v>2650</v>
      </c>
    </row>
    <row r="104" spans="1:21" x14ac:dyDescent="0.25">
      <c r="A104" s="842"/>
      <c r="B104" s="1180" t="s">
        <v>1068</v>
      </c>
      <c r="C104" s="1180"/>
      <c r="D104" s="409" t="s">
        <v>456</v>
      </c>
      <c r="E104" s="409" t="s">
        <v>464</v>
      </c>
      <c r="F104" s="409" t="s">
        <v>67</v>
      </c>
      <c r="G104" s="1662" t="s">
        <v>1064</v>
      </c>
      <c r="H104" s="2848">
        <f t="shared" ref="H104:U104" si="18">H105</f>
        <v>2400</v>
      </c>
      <c r="I104" s="2849">
        <f t="shared" si="18"/>
        <v>0</v>
      </c>
      <c r="J104" s="2850">
        <f t="shared" si="18"/>
        <v>0</v>
      </c>
      <c r="K104" s="2812">
        <f t="shared" si="18"/>
        <v>0</v>
      </c>
      <c r="L104" s="2812">
        <f t="shared" si="18"/>
        <v>0</v>
      </c>
      <c r="M104" s="2812">
        <f t="shared" si="18"/>
        <v>0</v>
      </c>
      <c r="N104" s="2851">
        <f t="shared" si="18"/>
        <v>2500</v>
      </c>
      <c r="O104" s="2812">
        <f t="shared" si="18"/>
        <v>0</v>
      </c>
      <c r="P104" s="2812">
        <f t="shared" si="18"/>
        <v>0</v>
      </c>
      <c r="Q104" s="2812">
        <f t="shared" si="18"/>
        <v>0</v>
      </c>
      <c r="R104" s="2812">
        <f t="shared" si="18"/>
        <v>0</v>
      </c>
      <c r="S104" s="2812">
        <f t="shared" si="18"/>
        <v>0</v>
      </c>
      <c r="T104" s="2812">
        <f t="shared" si="18"/>
        <v>0</v>
      </c>
      <c r="U104" s="2848">
        <f t="shared" si="18"/>
        <v>2650</v>
      </c>
    </row>
    <row r="105" spans="1:21" ht="13.5" customHeight="1" x14ac:dyDescent="0.25">
      <c r="A105" s="842"/>
      <c r="B105" s="1182" t="s">
        <v>580</v>
      </c>
      <c r="C105" s="1183"/>
      <c r="D105" s="409" t="s">
        <v>456</v>
      </c>
      <c r="E105" s="409" t="s">
        <v>464</v>
      </c>
      <c r="F105" s="409" t="s">
        <v>67</v>
      </c>
      <c r="G105" s="1662" t="s">
        <v>579</v>
      </c>
      <c r="H105" s="2848">
        <v>2400</v>
      </c>
      <c r="I105" s="2849"/>
      <c r="J105" s="2850"/>
      <c r="K105" s="2812"/>
      <c r="L105" s="2812"/>
      <c r="M105" s="2812"/>
      <c r="N105" s="2851">
        <v>2500</v>
      </c>
      <c r="O105" s="2812"/>
      <c r="P105" s="2812"/>
      <c r="Q105" s="2812"/>
      <c r="R105" s="2812"/>
      <c r="S105" s="2812"/>
      <c r="T105" s="2812"/>
      <c r="U105" s="2848">
        <v>2650</v>
      </c>
    </row>
    <row r="106" spans="1:21" x14ac:dyDescent="0.25">
      <c r="A106" s="842"/>
      <c r="B106" s="1184" t="s">
        <v>93</v>
      </c>
      <c r="C106" s="1177"/>
      <c r="D106" s="408" t="s">
        <v>456</v>
      </c>
      <c r="E106" s="408" t="s">
        <v>573</v>
      </c>
      <c r="F106" s="408"/>
      <c r="G106" s="1661"/>
      <c r="H106" s="2852">
        <f>H107+H116</f>
        <v>1830.9949999999999</v>
      </c>
      <c r="I106" s="2853">
        <f>I107+I116</f>
        <v>598.5</v>
      </c>
      <c r="J106" s="2854">
        <f>J107+J116</f>
        <v>598.5</v>
      </c>
      <c r="K106" s="2812"/>
      <c r="L106" s="2812"/>
      <c r="M106" s="2812"/>
      <c r="N106" s="2856">
        <f>N112+N114+N115</f>
        <v>0</v>
      </c>
      <c r="O106" s="2812"/>
      <c r="P106" s="2812"/>
      <c r="Q106" s="2812"/>
      <c r="R106" s="2812"/>
      <c r="S106" s="2812"/>
      <c r="T106" s="2812"/>
      <c r="U106" s="2852">
        <f>U112+U114+U115</f>
        <v>0</v>
      </c>
    </row>
    <row r="107" spans="1:21" x14ac:dyDescent="0.25">
      <c r="A107" s="1179"/>
      <c r="B107" s="753" t="s">
        <v>102</v>
      </c>
      <c r="C107" s="1180"/>
      <c r="D107" s="409" t="s">
        <v>456</v>
      </c>
      <c r="E107" s="409" t="s">
        <v>573</v>
      </c>
      <c r="F107" s="409" t="s">
        <v>101</v>
      </c>
      <c r="G107" s="1662"/>
      <c r="H107" s="2848">
        <f t="shared" ref="H107:J109" si="19">H108</f>
        <v>1830.9949999999999</v>
      </c>
      <c r="I107" s="2849">
        <f t="shared" si="19"/>
        <v>0</v>
      </c>
      <c r="J107" s="2850">
        <f t="shared" si="19"/>
        <v>0</v>
      </c>
      <c r="K107" s="2812"/>
      <c r="L107" s="2812"/>
      <c r="M107" s="2812"/>
      <c r="N107" s="2851">
        <f t="shared" ref="N107:N109" si="20">N108</f>
        <v>0</v>
      </c>
      <c r="O107" s="2812"/>
      <c r="P107" s="2812"/>
      <c r="Q107" s="2812"/>
      <c r="R107" s="2812"/>
      <c r="S107" s="2812"/>
      <c r="T107" s="2812"/>
      <c r="U107" s="2848">
        <f t="shared" ref="U107:U109" si="21">U108</f>
        <v>0</v>
      </c>
    </row>
    <row r="108" spans="1:21" x14ac:dyDescent="0.25">
      <c r="A108" s="1179"/>
      <c r="B108" s="753" t="s">
        <v>109</v>
      </c>
      <c r="C108" s="1180"/>
      <c r="D108" s="409" t="s">
        <v>456</v>
      </c>
      <c r="E108" s="409" t="s">
        <v>573</v>
      </c>
      <c r="F108" s="409" t="s">
        <v>100</v>
      </c>
      <c r="G108" s="1662"/>
      <c r="H108" s="2848">
        <f t="shared" si="19"/>
        <v>1830.9949999999999</v>
      </c>
      <c r="I108" s="2849">
        <f t="shared" si="19"/>
        <v>0</v>
      </c>
      <c r="J108" s="2850">
        <f t="shared" si="19"/>
        <v>0</v>
      </c>
      <c r="K108" s="2812"/>
      <c r="L108" s="2812"/>
      <c r="M108" s="2812"/>
      <c r="N108" s="2851">
        <f t="shared" si="20"/>
        <v>0</v>
      </c>
      <c r="O108" s="2812"/>
      <c r="P108" s="2812"/>
      <c r="Q108" s="2812"/>
      <c r="R108" s="2812"/>
      <c r="S108" s="2812"/>
      <c r="T108" s="2812"/>
      <c r="U108" s="2848">
        <f t="shared" si="21"/>
        <v>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99</v>
      </c>
      <c r="G109" s="1662"/>
      <c r="H109" s="2848">
        <f t="shared" si="19"/>
        <v>1830.9949999999999</v>
      </c>
      <c r="I109" s="2849">
        <f t="shared" si="19"/>
        <v>0</v>
      </c>
      <c r="J109" s="2850">
        <f t="shared" si="19"/>
        <v>0</v>
      </c>
      <c r="K109" s="2812"/>
      <c r="L109" s="2812"/>
      <c r="M109" s="2812"/>
      <c r="N109" s="2851">
        <f t="shared" si="20"/>
        <v>0</v>
      </c>
      <c r="O109" s="2812"/>
      <c r="P109" s="2812"/>
      <c r="Q109" s="2812"/>
      <c r="R109" s="2812"/>
      <c r="S109" s="2812"/>
      <c r="T109" s="2812"/>
      <c r="U109" s="2848">
        <f t="shared" si="21"/>
        <v>0</v>
      </c>
    </row>
    <row r="110" spans="1:21" x14ac:dyDescent="0.25">
      <c r="A110" s="1179"/>
      <c r="B110" s="753" t="s">
        <v>577</v>
      </c>
      <c r="C110" s="1180"/>
      <c r="D110" s="409" t="s">
        <v>456</v>
      </c>
      <c r="E110" s="409" t="s">
        <v>573</v>
      </c>
      <c r="F110" s="409" t="s">
        <v>92</v>
      </c>
      <c r="G110" s="1662"/>
      <c r="H110" s="2848">
        <f>H112+H115+H114</f>
        <v>1830.9949999999999</v>
      </c>
      <c r="I110" s="2849">
        <f>I112+I115</f>
        <v>0</v>
      </c>
      <c r="J110" s="2850">
        <f>J112+J115</f>
        <v>0</v>
      </c>
      <c r="K110" s="2812">
        <v>500</v>
      </c>
      <c r="L110" s="2812" t="s">
        <v>959</v>
      </c>
      <c r="M110" s="2812"/>
      <c r="N110" s="2851">
        <f>N111+N113</f>
        <v>0</v>
      </c>
      <c r="O110" s="2812"/>
      <c r="P110" s="2812"/>
      <c r="Q110" s="2812"/>
      <c r="R110" s="2812"/>
      <c r="S110" s="2812"/>
      <c r="T110" s="2812"/>
      <c r="U110" s="2848">
        <f>U111+U113</f>
        <v>0</v>
      </c>
    </row>
    <row r="111" spans="1:21" x14ac:dyDescent="0.25">
      <c r="A111" s="1179"/>
      <c r="B111" s="753" t="s">
        <v>948</v>
      </c>
      <c r="C111" s="1180"/>
      <c r="D111" s="409" t="s">
        <v>456</v>
      </c>
      <c r="E111" s="409" t="s">
        <v>573</v>
      </c>
      <c r="F111" s="409" t="s">
        <v>92</v>
      </c>
      <c r="G111" s="1662" t="s">
        <v>955</v>
      </c>
      <c r="H111" s="2848">
        <f t="shared" ref="H111:U111" si="22">H112</f>
        <v>1790.9949999999999</v>
      </c>
      <c r="I111" s="2849">
        <f t="shared" si="22"/>
        <v>0</v>
      </c>
      <c r="J111" s="2850">
        <f t="shared" si="22"/>
        <v>0</v>
      </c>
      <c r="K111" s="2812">
        <f t="shared" si="22"/>
        <v>0</v>
      </c>
      <c r="L111" s="2812">
        <f t="shared" si="22"/>
        <v>0</v>
      </c>
      <c r="M111" s="2812">
        <f t="shared" si="22"/>
        <v>0</v>
      </c>
      <c r="N111" s="2851">
        <f t="shared" si="22"/>
        <v>0</v>
      </c>
      <c r="O111" s="2812">
        <f t="shared" si="22"/>
        <v>0</v>
      </c>
      <c r="P111" s="2812">
        <f t="shared" si="22"/>
        <v>0</v>
      </c>
      <c r="Q111" s="2812">
        <f t="shared" si="22"/>
        <v>0</v>
      </c>
      <c r="R111" s="2812">
        <f t="shared" si="22"/>
        <v>0</v>
      </c>
      <c r="S111" s="2812">
        <f t="shared" si="22"/>
        <v>0</v>
      </c>
      <c r="T111" s="2812">
        <f t="shared" si="22"/>
        <v>0</v>
      </c>
      <c r="U111" s="2848">
        <f t="shared" si="22"/>
        <v>0</v>
      </c>
    </row>
    <row r="112" spans="1:21" ht="21" x14ac:dyDescent="0.25">
      <c r="A112" s="842"/>
      <c r="B112" s="1182" t="s">
        <v>454</v>
      </c>
      <c r="C112" s="1183"/>
      <c r="D112" s="409" t="s">
        <v>456</v>
      </c>
      <c r="E112" s="409" t="s">
        <v>573</v>
      </c>
      <c r="F112" s="409" t="s">
        <v>92</v>
      </c>
      <c r="G112" s="1662" t="s">
        <v>1</v>
      </c>
      <c r="H112" s="2848">
        <f>716+900+240-65-0.005</f>
        <v>1790.9949999999999</v>
      </c>
      <c r="I112" s="2849"/>
      <c r="J112" s="2850"/>
      <c r="K112" s="2812"/>
      <c r="L112" s="2812"/>
      <c r="M112" s="2812"/>
      <c r="N112" s="2851">
        <v>0</v>
      </c>
      <c r="O112" s="2812"/>
      <c r="P112" s="2812"/>
      <c r="Q112" s="2812"/>
      <c r="R112" s="2812"/>
      <c r="S112" s="2812"/>
      <c r="T112" s="2812"/>
      <c r="U112" s="2848">
        <v>0</v>
      </c>
    </row>
    <row r="113" spans="1:25" x14ac:dyDescent="0.25">
      <c r="A113" s="842"/>
      <c r="B113" s="1182" t="s">
        <v>1068</v>
      </c>
      <c r="C113" s="1183"/>
      <c r="D113" s="409" t="s">
        <v>456</v>
      </c>
      <c r="E113" s="409" t="s">
        <v>573</v>
      </c>
      <c r="F113" s="409" t="s">
        <v>92</v>
      </c>
      <c r="G113" s="1662" t="s">
        <v>1064</v>
      </c>
      <c r="H113" s="2848">
        <f>H114+H115</f>
        <v>40</v>
      </c>
      <c r="I113" s="2849"/>
      <c r="J113" s="2850"/>
      <c r="K113" s="2812"/>
      <c r="L113" s="2812"/>
      <c r="M113" s="2812"/>
      <c r="N113" s="2851">
        <f t="shared" ref="N113:U113" si="23">N114+N115</f>
        <v>0</v>
      </c>
      <c r="O113" s="2812">
        <f t="shared" si="23"/>
        <v>0</v>
      </c>
      <c r="P113" s="2812">
        <f t="shared" si="23"/>
        <v>0</v>
      </c>
      <c r="Q113" s="2812">
        <f t="shared" si="23"/>
        <v>0</v>
      </c>
      <c r="R113" s="2812">
        <f t="shared" si="23"/>
        <v>0</v>
      </c>
      <c r="S113" s="2812">
        <f t="shared" si="23"/>
        <v>0</v>
      </c>
      <c r="T113" s="2812">
        <f t="shared" si="23"/>
        <v>0</v>
      </c>
      <c r="U113" s="2848">
        <f t="shared" si="23"/>
        <v>0</v>
      </c>
    </row>
    <row r="114" spans="1:25" hidden="1" x14ac:dyDescent="0.25">
      <c r="A114" s="842"/>
      <c r="B114" s="1182" t="s">
        <v>1003</v>
      </c>
      <c r="C114" s="1183"/>
      <c r="D114" s="409" t="s">
        <v>456</v>
      </c>
      <c r="E114" s="409" t="s">
        <v>573</v>
      </c>
      <c r="F114" s="409" t="s">
        <v>92</v>
      </c>
      <c r="G114" s="1662" t="s">
        <v>95</v>
      </c>
      <c r="H114" s="2848">
        <v>0</v>
      </c>
      <c r="I114" s="2849"/>
      <c r="J114" s="2850"/>
      <c r="K114" s="2812"/>
      <c r="L114" s="2812"/>
      <c r="M114" s="2812"/>
      <c r="N114" s="2851">
        <v>0</v>
      </c>
      <c r="O114" s="2812"/>
      <c r="P114" s="2812"/>
      <c r="Q114" s="2812"/>
      <c r="R114" s="2812"/>
      <c r="S114" s="2812"/>
      <c r="T114" s="2812"/>
      <c r="U114" s="2848">
        <v>0</v>
      </c>
    </row>
    <row r="115" spans="1:25" x14ac:dyDescent="0.25">
      <c r="A115" s="842"/>
      <c r="B115" s="1182" t="s">
        <v>457</v>
      </c>
      <c r="C115" s="1183"/>
      <c r="D115" s="409" t="s">
        <v>456</v>
      </c>
      <c r="E115" s="409" t="s">
        <v>573</v>
      </c>
      <c r="F115" s="409" t="s">
        <v>92</v>
      </c>
      <c r="G115" s="1662" t="s">
        <v>91</v>
      </c>
      <c r="H115" s="2848">
        <v>40</v>
      </c>
      <c r="I115" s="2849"/>
      <c r="J115" s="2850"/>
      <c r="K115" s="2812"/>
      <c r="L115" s="2812"/>
      <c r="M115" s="2812"/>
      <c r="N115" s="2851">
        <v>0</v>
      </c>
      <c r="O115" s="2812"/>
      <c r="P115" s="2812"/>
      <c r="Q115" s="2812"/>
      <c r="R115" s="2812"/>
      <c r="S115" s="2812"/>
      <c r="T115" s="2812"/>
      <c r="U115" s="2848">
        <v>0</v>
      </c>
    </row>
    <row r="116" spans="1:25" ht="21" hidden="1" x14ac:dyDescent="0.25">
      <c r="A116" s="1211"/>
      <c r="B116" s="753" t="s">
        <v>499</v>
      </c>
      <c r="C116" s="1177"/>
      <c r="D116" s="408" t="s">
        <v>456</v>
      </c>
      <c r="E116" s="408" t="s">
        <v>573</v>
      </c>
      <c r="F116" s="409" t="s">
        <v>89</v>
      </c>
      <c r="G116" s="1661"/>
      <c r="H116" s="2852">
        <f t="shared" ref="H116:J117" si="24">H117</f>
        <v>0</v>
      </c>
      <c r="I116" s="2853">
        <f t="shared" si="24"/>
        <v>598.5</v>
      </c>
      <c r="J116" s="2854">
        <f t="shared" si="24"/>
        <v>598.5</v>
      </c>
      <c r="K116" s="2812"/>
      <c r="L116" s="2812"/>
      <c r="M116" s="2812"/>
      <c r="N116" s="2856">
        <f t="shared" ref="N116:N117" si="25">N117</f>
        <v>0</v>
      </c>
      <c r="O116" s="2812"/>
      <c r="P116" s="2812"/>
      <c r="Q116" s="2812"/>
      <c r="R116" s="2812"/>
      <c r="S116" s="2812"/>
      <c r="T116" s="2812"/>
      <c r="U116" s="2852">
        <f t="shared" ref="U116:U117" si="26">U117</f>
        <v>0</v>
      </c>
    </row>
    <row r="117" spans="1:25" hidden="1" x14ac:dyDescent="0.25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84</v>
      </c>
      <c r="G117" s="1662"/>
      <c r="H117" s="2848">
        <f t="shared" si="24"/>
        <v>0</v>
      </c>
      <c r="I117" s="2849">
        <f t="shared" si="24"/>
        <v>598.5</v>
      </c>
      <c r="J117" s="2850">
        <f t="shared" si="24"/>
        <v>598.5</v>
      </c>
      <c r="K117" s="2812"/>
      <c r="L117" s="2812"/>
      <c r="M117" s="2812"/>
      <c r="N117" s="2851">
        <f t="shared" si="25"/>
        <v>0</v>
      </c>
      <c r="O117" s="2812"/>
      <c r="P117" s="2812"/>
      <c r="Q117" s="2812"/>
      <c r="R117" s="2812"/>
      <c r="S117" s="2812"/>
      <c r="T117" s="2812"/>
      <c r="U117" s="2848">
        <f t="shared" si="26"/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82</v>
      </c>
      <c r="G118" s="1662"/>
      <c r="H118" s="2848">
        <f>H119</f>
        <v>0</v>
      </c>
      <c r="I118" s="2849">
        <f>I123</f>
        <v>598.5</v>
      </c>
      <c r="J118" s="2850">
        <f>J123</f>
        <v>598.5</v>
      </c>
      <c r="K118" s="2812"/>
      <c r="L118" s="2812"/>
      <c r="M118" s="2812"/>
      <c r="N118" s="2851">
        <f>N123</f>
        <v>0</v>
      </c>
      <c r="O118" s="2812"/>
      <c r="P118" s="2812"/>
      <c r="Q118" s="2812"/>
      <c r="R118" s="2812"/>
      <c r="S118" s="2812"/>
      <c r="T118" s="2812"/>
      <c r="U118" s="2848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409" t="s">
        <v>456</v>
      </c>
      <c r="E119" s="409" t="s">
        <v>573</v>
      </c>
      <c r="F119" s="409" t="s">
        <v>1005</v>
      </c>
      <c r="G119" s="1662"/>
      <c r="H119" s="2848">
        <f>H120</f>
        <v>0</v>
      </c>
      <c r="I119" s="2849">
        <f>I120</f>
        <v>0</v>
      </c>
      <c r="J119" s="2850">
        <f>J120</f>
        <v>0</v>
      </c>
      <c r="K119" s="2812"/>
      <c r="L119" s="2812"/>
      <c r="M119" s="2812"/>
      <c r="N119" s="2851">
        <f>N120</f>
        <v>0</v>
      </c>
      <c r="O119" s="2812"/>
      <c r="P119" s="2812"/>
      <c r="Q119" s="2812"/>
      <c r="R119" s="2812"/>
      <c r="S119" s="2812"/>
      <c r="T119" s="2812"/>
      <c r="U119" s="2848">
        <f>U120</f>
        <v>0</v>
      </c>
    </row>
    <row r="120" spans="1:25" hidden="1" x14ac:dyDescent="0.25">
      <c r="A120" s="842"/>
      <c r="B120" s="1182" t="s">
        <v>571</v>
      </c>
      <c r="C120" s="1183"/>
      <c r="D120" s="409" t="s">
        <v>456</v>
      </c>
      <c r="E120" s="409" t="s">
        <v>573</v>
      </c>
      <c r="F120" s="409" t="s">
        <v>1005</v>
      </c>
      <c r="G120" s="1662" t="s">
        <v>5</v>
      </c>
      <c r="H120" s="2848"/>
      <c r="I120" s="2849"/>
      <c r="J120" s="2850"/>
      <c r="K120" s="2812"/>
      <c r="L120" s="2812"/>
      <c r="M120" s="2812"/>
      <c r="N120" s="2851"/>
      <c r="O120" s="2812"/>
      <c r="P120" s="2812"/>
      <c r="Q120" s="2812"/>
      <c r="R120" s="2812"/>
      <c r="S120" s="2812"/>
      <c r="T120" s="2812"/>
      <c r="U120" s="2848"/>
    </row>
    <row r="121" spans="1:25" ht="21" hidden="1" x14ac:dyDescent="0.25">
      <c r="A121" s="842"/>
      <c r="B121" s="1199" t="s">
        <v>151</v>
      </c>
      <c r="C121" s="1188"/>
      <c r="D121" s="409" t="s">
        <v>456</v>
      </c>
      <c r="E121" s="409" t="s">
        <v>452</v>
      </c>
      <c r="F121" s="409" t="s">
        <v>150</v>
      </c>
      <c r="G121" s="1662"/>
      <c r="H121" s="2848">
        <f>H122</f>
        <v>0</v>
      </c>
      <c r="I121" s="2849">
        <f>I122</f>
        <v>0</v>
      </c>
      <c r="J121" s="2850">
        <f>J122</f>
        <v>0</v>
      </c>
      <c r="K121" s="2812"/>
      <c r="L121" s="2812"/>
      <c r="M121" s="2812"/>
      <c r="N121" s="2851">
        <f>N122</f>
        <v>0</v>
      </c>
      <c r="O121" s="2812"/>
      <c r="P121" s="2812"/>
      <c r="Q121" s="2812"/>
      <c r="R121" s="2812"/>
      <c r="S121" s="2812"/>
      <c r="T121" s="2812"/>
      <c r="U121" s="2848">
        <f>U122</f>
        <v>0</v>
      </c>
    </row>
    <row r="122" spans="1:25" hidden="1" x14ac:dyDescent="0.25">
      <c r="A122" s="842"/>
      <c r="B122" s="1182" t="s">
        <v>575</v>
      </c>
      <c r="C122" s="1183"/>
      <c r="D122" s="409" t="s">
        <v>456</v>
      </c>
      <c r="E122" s="409" t="s">
        <v>452</v>
      </c>
      <c r="F122" s="409" t="s">
        <v>150</v>
      </c>
      <c r="G122" s="1662" t="s">
        <v>120</v>
      </c>
      <c r="H122" s="2848"/>
      <c r="I122" s="2849"/>
      <c r="J122" s="2850"/>
      <c r="K122" s="2812"/>
      <c r="L122" s="2812"/>
      <c r="M122" s="2812"/>
      <c r="N122" s="2851"/>
      <c r="O122" s="2812"/>
      <c r="P122" s="2812"/>
      <c r="Q122" s="2812"/>
      <c r="R122" s="2812"/>
      <c r="S122" s="2812"/>
      <c r="T122" s="2812"/>
      <c r="U122" s="2848"/>
    </row>
    <row r="123" spans="1:25" ht="52" hidden="1" x14ac:dyDescent="0.25">
      <c r="A123" s="842"/>
      <c r="B123" s="398" t="s">
        <v>574</v>
      </c>
      <c r="C123" s="1188"/>
      <c r="D123" s="409" t="s">
        <v>456</v>
      </c>
      <c r="E123" s="409" t="s">
        <v>573</v>
      </c>
      <c r="F123" s="409" t="s">
        <v>127</v>
      </c>
      <c r="G123" s="1662"/>
      <c r="H123" s="2848">
        <f>H124+H125</f>
        <v>0</v>
      </c>
      <c r="I123" s="2849">
        <f>I124+I125</f>
        <v>598.5</v>
      </c>
      <c r="J123" s="2850">
        <f>J124+J125</f>
        <v>598.5</v>
      </c>
      <c r="K123" s="2812"/>
      <c r="L123" s="2812"/>
      <c r="M123" s="2812"/>
      <c r="N123" s="2851">
        <f>N124+N125</f>
        <v>0</v>
      </c>
      <c r="O123" s="2812"/>
      <c r="P123" s="2812"/>
      <c r="Q123" s="2812"/>
      <c r="R123" s="2812"/>
      <c r="S123" s="2812"/>
      <c r="T123" s="2812"/>
      <c r="U123" s="2848">
        <f>U124+U125</f>
        <v>0</v>
      </c>
    </row>
    <row r="124" spans="1:25" hidden="1" x14ac:dyDescent="0.25">
      <c r="A124" s="842"/>
      <c r="B124" s="1182" t="s">
        <v>571</v>
      </c>
      <c r="C124" s="1183"/>
      <c r="D124" s="409" t="s">
        <v>456</v>
      </c>
      <c r="E124" s="409" t="s">
        <v>573</v>
      </c>
      <c r="F124" s="409" t="s">
        <v>127</v>
      </c>
      <c r="G124" s="1662" t="s">
        <v>5</v>
      </c>
      <c r="H124" s="2848"/>
      <c r="I124" s="2849">
        <v>561.29999999999995</v>
      </c>
      <c r="J124" s="2850">
        <v>561.29999999999995</v>
      </c>
      <c r="K124" s="2812"/>
      <c r="L124" s="2812"/>
      <c r="M124" s="2812"/>
      <c r="N124" s="2851"/>
      <c r="O124" s="2812"/>
      <c r="P124" s="2812"/>
      <c r="Q124" s="2812"/>
      <c r="R124" s="2812"/>
      <c r="S124" s="2812"/>
      <c r="T124" s="2812"/>
      <c r="U124" s="2848"/>
    </row>
    <row r="125" spans="1:25" ht="21" hidden="1" x14ac:dyDescent="0.25">
      <c r="A125" s="842"/>
      <c r="B125" s="1182" t="s">
        <v>454</v>
      </c>
      <c r="C125" s="1183"/>
      <c r="D125" s="409" t="s">
        <v>456</v>
      </c>
      <c r="E125" s="409" t="s">
        <v>573</v>
      </c>
      <c r="F125" s="409" t="s">
        <v>127</v>
      </c>
      <c r="G125" s="1662" t="s">
        <v>1</v>
      </c>
      <c r="H125" s="2848"/>
      <c r="I125" s="2849">
        <v>37.200000000000003</v>
      </c>
      <c r="J125" s="2850">
        <v>37.200000000000003</v>
      </c>
      <c r="K125" s="2812"/>
      <c r="L125" s="2812"/>
      <c r="M125" s="2812"/>
      <c r="N125" s="2851"/>
      <c r="O125" s="2812"/>
      <c r="P125" s="2812"/>
      <c r="Q125" s="2812"/>
      <c r="R125" s="2812"/>
      <c r="S125" s="2812"/>
      <c r="T125" s="2812"/>
      <c r="U125" s="2848"/>
    </row>
    <row r="126" spans="1:25" x14ac:dyDescent="0.25">
      <c r="A126" s="842"/>
      <c r="B126" s="1252" t="s">
        <v>1257</v>
      </c>
      <c r="C126" s="1183"/>
      <c r="D126" s="408" t="s">
        <v>488</v>
      </c>
      <c r="E126" s="408" t="s">
        <v>459</v>
      </c>
      <c r="F126" s="409"/>
      <c r="G126" s="1662"/>
      <c r="H126" s="2852">
        <f>H127</f>
        <v>579.19999999999993</v>
      </c>
      <c r="I126" s="2853">
        <f t="shared" ref="I126:J130" si="27">I127</f>
        <v>0</v>
      </c>
      <c r="J126" s="2854">
        <f t="shared" si="27"/>
        <v>0</v>
      </c>
      <c r="K126" s="2812"/>
      <c r="L126" s="2812"/>
      <c r="M126" s="2812"/>
      <c r="N126" s="2856">
        <f>N127</f>
        <v>892</v>
      </c>
      <c r="O126" s="2812"/>
      <c r="P126" s="2812"/>
      <c r="Q126" s="2812"/>
      <c r="R126" s="2812"/>
      <c r="S126" s="2812"/>
      <c r="T126" s="2812"/>
      <c r="U126" s="2852">
        <f>U127</f>
        <v>0</v>
      </c>
      <c r="V126" s="1861">
        <v>834.7</v>
      </c>
      <c r="W126" s="1861">
        <v>844.2</v>
      </c>
      <c r="X126" s="1861">
        <v>874.4</v>
      </c>
      <c r="Y126" s="2266" t="s">
        <v>444</v>
      </c>
    </row>
    <row r="127" spans="1:25" x14ac:dyDescent="0.25">
      <c r="A127" s="842"/>
      <c r="B127" s="1252" t="s">
        <v>6</v>
      </c>
      <c r="C127" s="1183"/>
      <c r="D127" s="408" t="s">
        <v>488</v>
      </c>
      <c r="E127" s="408" t="s">
        <v>495</v>
      </c>
      <c r="F127" s="409"/>
      <c r="G127" s="1662"/>
      <c r="H127" s="2852">
        <f>H128</f>
        <v>579.19999999999993</v>
      </c>
      <c r="I127" s="2853">
        <f t="shared" si="27"/>
        <v>0</v>
      </c>
      <c r="J127" s="2854">
        <f t="shared" si="27"/>
        <v>0</v>
      </c>
      <c r="K127" s="2822">
        <v>727.8</v>
      </c>
      <c r="L127" s="2812"/>
      <c r="M127" s="2812"/>
      <c r="N127" s="2856">
        <f>N128</f>
        <v>892</v>
      </c>
      <c r="O127" s="2812"/>
      <c r="P127" s="2812"/>
      <c r="Q127" s="2812"/>
      <c r="R127" s="2812"/>
      <c r="S127" s="2812"/>
      <c r="T127" s="2812"/>
      <c r="U127" s="2852">
        <f>U128</f>
        <v>0</v>
      </c>
    </row>
    <row r="128" spans="1:25" ht="21" x14ac:dyDescent="0.25">
      <c r="A128" s="842"/>
      <c r="B128" s="753" t="s">
        <v>499</v>
      </c>
      <c r="C128" s="1183"/>
      <c r="D128" s="408" t="s">
        <v>488</v>
      </c>
      <c r="E128" s="408" t="s">
        <v>495</v>
      </c>
      <c r="F128" s="409" t="s">
        <v>89</v>
      </c>
      <c r="G128" s="1662"/>
      <c r="H128" s="2852">
        <f>H129</f>
        <v>579.19999999999993</v>
      </c>
      <c r="I128" s="2853">
        <f t="shared" si="27"/>
        <v>0</v>
      </c>
      <c r="J128" s="2854">
        <f t="shared" si="27"/>
        <v>0</v>
      </c>
      <c r="K128" s="2812"/>
      <c r="L128" s="2812"/>
      <c r="M128" s="2812"/>
      <c r="N128" s="2856">
        <f>N129</f>
        <v>892</v>
      </c>
      <c r="O128" s="2812"/>
      <c r="P128" s="2812"/>
      <c r="Q128" s="2812"/>
      <c r="R128" s="2812"/>
      <c r="S128" s="2812"/>
      <c r="T128" s="2812"/>
      <c r="U128" s="2852">
        <f>U129</f>
        <v>0</v>
      </c>
    </row>
    <row r="129" spans="1:28" x14ac:dyDescent="0.25">
      <c r="A129" s="842"/>
      <c r="B129" s="753" t="s">
        <v>109</v>
      </c>
      <c r="C129" s="1183"/>
      <c r="D129" s="409" t="s">
        <v>488</v>
      </c>
      <c r="E129" s="409" t="s">
        <v>495</v>
      </c>
      <c r="F129" s="409" t="s">
        <v>84</v>
      </c>
      <c r="G129" s="1662"/>
      <c r="H129" s="2848">
        <f>H130</f>
        <v>579.19999999999993</v>
      </c>
      <c r="I129" s="2849">
        <f t="shared" si="27"/>
        <v>0</v>
      </c>
      <c r="J129" s="2850">
        <f t="shared" si="27"/>
        <v>0</v>
      </c>
      <c r="K129" s="2812"/>
      <c r="L129" s="2812"/>
      <c r="M129" s="2812"/>
      <c r="N129" s="2851">
        <f>N130</f>
        <v>892</v>
      </c>
      <c r="O129" s="2812"/>
      <c r="P129" s="2812"/>
      <c r="Q129" s="2812"/>
      <c r="R129" s="2812"/>
      <c r="S129" s="2812"/>
      <c r="T129" s="2812"/>
      <c r="U129" s="2848">
        <f>U130</f>
        <v>0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82</v>
      </c>
      <c r="G130" s="1662"/>
      <c r="H130" s="2848">
        <f>H131</f>
        <v>579.19999999999993</v>
      </c>
      <c r="I130" s="2849">
        <f t="shared" si="27"/>
        <v>0</v>
      </c>
      <c r="J130" s="2850">
        <f t="shared" si="27"/>
        <v>0</v>
      </c>
      <c r="K130" s="2812"/>
      <c r="L130" s="2812"/>
      <c r="M130" s="2812"/>
      <c r="N130" s="2851">
        <f>N131</f>
        <v>892</v>
      </c>
      <c r="O130" s="2812"/>
      <c r="P130" s="2812"/>
      <c r="Q130" s="2812"/>
      <c r="R130" s="2812"/>
      <c r="S130" s="2812"/>
      <c r="T130" s="2812"/>
      <c r="U130" s="2848">
        <f>U131</f>
        <v>0</v>
      </c>
    </row>
    <row r="131" spans="1:28" ht="21" x14ac:dyDescent="0.25">
      <c r="A131" s="842"/>
      <c r="B131" s="1213" t="s">
        <v>8</v>
      </c>
      <c r="C131" s="1183"/>
      <c r="D131" s="409" t="s">
        <v>488</v>
      </c>
      <c r="E131" s="409" t="s">
        <v>495</v>
      </c>
      <c r="F131" s="409" t="s">
        <v>2</v>
      </c>
      <c r="G131" s="1662"/>
      <c r="H131" s="2848">
        <f>H133+H135</f>
        <v>579.19999999999993</v>
      </c>
      <c r="I131" s="2849">
        <f>I133+I135</f>
        <v>0</v>
      </c>
      <c r="J131" s="2850">
        <f>J133+J135</f>
        <v>0</v>
      </c>
      <c r="K131" s="2812"/>
      <c r="L131" s="2812"/>
      <c r="M131" s="2812"/>
      <c r="N131" s="2851">
        <f>N133+N135</f>
        <v>892</v>
      </c>
      <c r="O131" s="2812"/>
      <c r="P131" s="2812"/>
      <c r="Q131" s="2812"/>
      <c r="R131" s="2812"/>
      <c r="S131" s="2812"/>
      <c r="T131" s="2812"/>
      <c r="U131" s="2848">
        <f>U133+U135</f>
        <v>0</v>
      </c>
    </row>
    <row r="132" spans="1:28" ht="39" x14ac:dyDescent="0.25">
      <c r="A132" s="842"/>
      <c r="B132" s="49" t="s">
        <v>1063</v>
      </c>
      <c r="C132" s="1183"/>
      <c r="D132" s="409" t="s">
        <v>488</v>
      </c>
      <c r="E132" s="409" t="s">
        <v>495</v>
      </c>
      <c r="F132" s="409" t="s">
        <v>2</v>
      </c>
      <c r="G132" s="1662" t="s">
        <v>1062</v>
      </c>
      <c r="H132" s="2848">
        <f t="shared" ref="H132:U132" si="28">H133</f>
        <v>550.0329999999999</v>
      </c>
      <c r="I132" s="2849">
        <f t="shared" si="28"/>
        <v>0</v>
      </c>
      <c r="J132" s="2850">
        <f t="shared" si="28"/>
        <v>0</v>
      </c>
      <c r="K132" s="2812">
        <f t="shared" si="28"/>
        <v>0</v>
      </c>
      <c r="L132" s="2812">
        <f t="shared" si="28"/>
        <v>0</v>
      </c>
      <c r="M132" s="2812">
        <f t="shared" si="28"/>
        <v>0</v>
      </c>
      <c r="N132" s="2851">
        <f t="shared" si="28"/>
        <v>862.83299999999997</v>
      </c>
      <c r="O132" s="2812">
        <f t="shared" si="28"/>
        <v>0</v>
      </c>
      <c r="P132" s="2812">
        <f t="shared" si="28"/>
        <v>0</v>
      </c>
      <c r="Q132" s="2812">
        <f t="shared" si="28"/>
        <v>0</v>
      </c>
      <c r="R132" s="2812">
        <f t="shared" si="28"/>
        <v>0</v>
      </c>
      <c r="S132" s="2812">
        <f t="shared" si="28"/>
        <v>0</v>
      </c>
      <c r="T132" s="2812">
        <f t="shared" si="28"/>
        <v>0</v>
      </c>
      <c r="U132" s="2848">
        <f t="shared" si="28"/>
        <v>0</v>
      </c>
    </row>
    <row r="133" spans="1:28" x14ac:dyDescent="0.25">
      <c r="A133" s="842"/>
      <c r="B133" s="1182" t="s">
        <v>571</v>
      </c>
      <c r="C133" s="1183"/>
      <c r="D133" s="409" t="s">
        <v>488</v>
      </c>
      <c r="E133" s="409" t="s">
        <v>495</v>
      </c>
      <c r="F133" s="409" t="s">
        <v>2</v>
      </c>
      <c r="G133" s="1662" t="s">
        <v>5</v>
      </c>
      <c r="H133" s="2848">
        <f>862.833-312.8</f>
        <v>550.0329999999999</v>
      </c>
      <c r="I133" s="2849"/>
      <c r="J133" s="2850"/>
      <c r="K133" s="2812"/>
      <c r="L133" s="2812"/>
      <c r="M133" s="2812"/>
      <c r="N133" s="2851">
        <v>862.83299999999997</v>
      </c>
      <c r="O133" s="2812"/>
      <c r="P133" s="2812"/>
      <c r="Q133" s="2812"/>
      <c r="R133" s="2812"/>
      <c r="S133" s="2812"/>
      <c r="T133" s="2812"/>
      <c r="U133" s="2848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x14ac:dyDescent="0.25">
      <c r="A134" s="842"/>
      <c r="B134" s="753" t="s">
        <v>948</v>
      </c>
      <c r="C134" s="1183"/>
      <c r="D134" s="409" t="s">
        <v>488</v>
      </c>
      <c r="E134" s="409" t="s">
        <v>495</v>
      </c>
      <c r="F134" s="409" t="s">
        <v>2</v>
      </c>
      <c r="G134" s="1662" t="s">
        <v>955</v>
      </c>
      <c r="H134" s="2848">
        <f t="shared" ref="H134:U134" si="29">H135</f>
        <v>29.167000000000002</v>
      </c>
      <c r="I134" s="2849">
        <f t="shared" si="29"/>
        <v>0</v>
      </c>
      <c r="J134" s="2850">
        <f t="shared" si="29"/>
        <v>0</v>
      </c>
      <c r="K134" s="2812">
        <f t="shared" si="29"/>
        <v>0</v>
      </c>
      <c r="L134" s="2812">
        <f t="shared" si="29"/>
        <v>0</v>
      </c>
      <c r="M134" s="2812">
        <f t="shared" si="29"/>
        <v>0</v>
      </c>
      <c r="N134" s="2851">
        <f t="shared" si="29"/>
        <v>29.167000000000002</v>
      </c>
      <c r="O134" s="2812">
        <f t="shared" si="29"/>
        <v>0</v>
      </c>
      <c r="P134" s="2812">
        <f t="shared" si="29"/>
        <v>0</v>
      </c>
      <c r="Q134" s="2812">
        <f t="shared" si="29"/>
        <v>0</v>
      </c>
      <c r="R134" s="2812">
        <f t="shared" si="29"/>
        <v>0</v>
      </c>
      <c r="S134" s="2812">
        <f t="shared" si="29"/>
        <v>0</v>
      </c>
      <c r="T134" s="2812">
        <f t="shared" si="29"/>
        <v>0</v>
      </c>
      <c r="U134" s="2848">
        <f t="shared" si="29"/>
        <v>0</v>
      </c>
      <c r="V134" s="2"/>
      <c r="W134" s="2"/>
      <c r="X134" s="2"/>
    </row>
    <row r="135" spans="1:28" ht="21" x14ac:dyDescent="0.25">
      <c r="A135" s="842"/>
      <c r="B135" s="1182" t="s">
        <v>454</v>
      </c>
      <c r="C135" s="1183"/>
      <c r="D135" s="409" t="s">
        <v>488</v>
      </c>
      <c r="E135" s="409" t="s">
        <v>495</v>
      </c>
      <c r="F135" s="409" t="s">
        <v>2</v>
      </c>
      <c r="G135" s="1662" t="s">
        <v>1</v>
      </c>
      <c r="H135" s="2848">
        <v>29.167000000000002</v>
      </c>
      <c r="I135" s="2849"/>
      <c r="J135" s="2850"/>
      <c r="K135" s="2812"/>
      <c r="L135" s="2812"/>
      <c r="M135" s="2812"/>
      <c r="N135" s="2851">
        <v>29.167000000000002</v>
      </c>
      <c r="O135" s="2812"/>
      <c r="P135" s="2812"/>
      <c r="Q135" s="2812"/>
      <c r="R135" s="2812"/>
      <c r="S135" s="2812"/>
      <c r="T135" s="2812"/>
      <c r="U135" s="2848">
        <v>0</v>
      </c>
      <c r="V135" s="2"/>
      <c r="W135" s="2"/>
      <c r="X135" s="2">
        <v>27.576000000000001</v>
      </c>
    </row>
    <row r="136" spans="1:28" x14ac:dyDescent="0.25">
      <c r="A136" s="1179"/>
      <c r="B136" s="1214" t="s">
        <v>407</v>
      </c>
      <c r="C136" s="1177"/>
      <c r="D136" s="408" t="s">
        <v>495</v>
      </c>
      <c r="E136" s="408" t="s">
        <v>459</v>
      </c>
      <c r="F136" s="408"/>
      <c r="G136" s="1661"/>
      <c r="H136" s="2852">
        <f>H137+H166+H157</f>
        <v>744.24</v>
      </c>
      <c r="I136" s="2853">
        <f>I137</f>
        <v>0</v>
      </c>
      <c r="J136" s="2854">
        <f>J137</f>
        <v>0</v>
      </c>
      <c r="K136" s="2812"/>
      <c r="L136" s="2812"/>
      <c r="M136" s="2812"/>
      <c r="N136" s="2852">
        <f t="shared" ref="N136:U136" si="30">N137+N148+N166</f>
        <v>799.1</v>
      </c>
      <c r="O136" s="2812">
        <f t="shared" si="30"/>
        <v>0</v>
      </c>
      <c r="P136" s="2812">
        <f t="shared" si="30"/>
        <v>0</v>
      </c>
      <c r="Q136" s="2812">
        <f t="shared" si="30"/>
        <v>0</v>
      </c>
      <c r="R136" s="2812">
        <f t="shared" si="30"/>
        <v>0</v>
      </c>
      <c r="S136" s="2812">
        <f t="shared" si="30"/>
        <v>0</v>
      </c>
      <c r="T136" s="2812">
        <f t="shared" si="30"/>
        <v>0</v>
      </c>
      <c r="U136" s="2852">
        <f t="shared" si="30"/>
        <v>608.1</v>
      </c>
    </row>
    <row r="137" spans="1:28" ht="23" x14ac:dyDescent="0.25">
      <c r="A137" s="842"/>
      <c r="B137" s="1184" t="s">
        <v>1204</v>
      </c>
      <c r="C137" s="1177"/>
      <c r="D137" s="408" t="s">
        <v>495</v>
      </c>
      <c r="E137" s="408" t="s">
        <v>496</v>
      </c>
      <c r="F137" s="408"/>
      <c r="G137" s="1661"/>
      <c r="H137" s="2852">
        <f>H138+H161</f>
        <v>250</v>
      </c>
      <c r="I137" s="2853">
        <f>I138+I169</f>
        <v>0</v>
      </c>
      <c r="J137" s="2854">
        <f>J138+J169</f>
        <v>0</v>
      </c>
      <c r="K137" s="2812"/>
      <c r="L137" s="2812"/>
      <c r="M137" s="2812"/>
      <c r="N137" s="2852">
        <f>N138+N161</f>
        <v>792</v>
      </c>
      <c r="O137" s="2812"/>
      <c r="P137" s="2812"/>
      <c r="Q137" s="2812"/>
      <c r="R137" s="2812"/>
      <c r="S137" s="2812"/>
      <c r="T137" s="2812"/>
      <c r="U137" s="2852">
        <f>U138+U161</f>
        <v>601</v>
      </c>
    </row>
    <row r="138" spans="1:28" ht="21" x14ac:dyDescent="0.25">
      <c r="A138" s="1179"/>
      <c r="B138" s="1205" t="s">
        <v>912</v>
      </c>
      <c r="C138" s="1215"/>
      <c r="D138" s="409" t="s">
        <v>495</v>
      </c>
      <c r="E138" s="409" t="s">
        <v>496</v>
      </c>
      <c r="F138" s="409" t="s">
        <v>240</v>
      </c>
      <c r="G138" s="1662"/>
      <c r="H138" s="2848">
        <f>H139+H151</f>
        <v>250</v>
      </c>
      <c r="I138" s="2849">
        <f>I139+I156</f>
        <v>0</v>
      </c>
      <c r="J138" s="2850">
        <f>J139+J156</f>
        <v>0</v>
      </c>
      <c r="K138" s="2822">
        <f>K143+K154+K160</f>
        <v>0</v>
      </c>
      <c r="L138" s="2812"/>
      <c r="M138" s="2812"/>
      <c r="N138" s="2851">
        <f>N139+N151</f>
        <v>792</v>
      </c>
      <c r="O138" s="2812">
        <f t="shared" ref="O138:T138" si="31">O139+O156</f>
        <v>0</v>
      </c>
      <c r="P138" s="2812">
        <f t="shared" si="31"/>
        <v>0</v>
      </c>
      <c r="Q138" s="2812">
        <f t="shared" si="31"/>
        <v>0</v>
      </c>
      <c r="R138" s="2812">
        <f t="shared" si="31"/>
        <v>0</v>
      </c>
      <c r="S138" s="2812">
        <f t="shared" si="31"/>
        <v>0</v>
      </c>
      <c r="T138" s="2812">
        <f t="shared" si="31"/>
        <v>0</v>
      </c>
      <c r="U138" s="2848">
        <f>U139+U151</f>
        <v>601</v>
      </c>
    </row>
    <row r="139" spans="1:28" ht="43" customHeight="1" x14ac:dyDescent="0.25">
      <c r="A139" s="1179"/>
      <c r="B139" s="157" t="s">
        <v>1263</v>
      </c>
      <c r="C139" s="1215"/>
      <c r="D139" s="1217" t="s">
        <v>495</v>
      </c>
      <c r="E139" s="1217" t="s">
        <v>496</v>
      </c>
      <c r="F139" s="1217" t="s">
        <v>1286</v>
      </c>
      <c r="G139" s="1664"/>
      <c r="H139" s="2848">
        <f>H140</f>
        <v>130</v>
      </c>
      <c r="I139" s="2849">
        <f>I140+I151</f>
        <v>0</v>
      </c>
      <c r="J139" s="2850">
        <f>J140+J151</f>
        <v>0</v>
      </c>
      <c r="K139" s="2812"/>
      <c r="L139" s="2812"/>
      <c r="M139" s="2812"/>
      <c r="N139" s="2851">
        <f>N140</f>
        <v>230</v>
      </c>
      <c r="O139" s="2812">
        <f t="shared" ref="O139:T139" si="32">O143+O154</f>
        <v>0</v>
      </c>
      <c r="P139" s="2812">
        <f t="shared" si="32"/>
        <v>0</v>
      </c>
      <c r="Q139" s="2812">
        <f t="shared" si="32"/>
        <v>0</v>
      </c>
      <c r="R139" s="2812">
        <f t="shared" si="32"/>
        <v>0</v>
      </c>
      <c r="S139" s="2812">
        <f t="shared" si="32"/>
        <v>0</v>
      </c>
      <c r="T139" s="2812">
        <f t="shared" si="32"/>
        <v>0</v>
      </c>
      <c r="U139" s="2848">
        <f>U140</f>
        <v>230</v>
      </c>
    </row>
    <row r="140" spans="1:28" ht="39" x14ac:dyDescent="0.25">
      <c r="A140" s="1179"/>
      <c r="B140" s="1093" t="s">
        <v>1285</v>
      </c>
      <c r="C140" s="1215"/>
      <c r="D140" s="1217" t="s">
        <v>495</v>
      </c>
      <c r="E140" s="1217" t="s">
        <v>496</v>
      </c>
      <c r="F140" s="1217" t="s">
        <v>1284</v>
      </c>
      <c r="G140" s="1664"/>
      <c r="H140" s="2848">
        <f>H141+H144+H146</f>
        <v>130</v>
      </c>
      <c r="I140" s="2849">
        <f>I141+I144+I146</f>
        <v>0</v>
      </c>
      <c r="J140" s="2850">
        <f>J141+J144+J146</f>
        <v>0</v>
      </c>
      <c r="K140" s="2812"/>
      <c r="L140" s="2812"/>
      <c r="M140" s="2812"/>
      <c r="N140" s="2851">
        <f t="shared" ref="N140:U140" si="33">N141+N144+N146</f>
        <v>230</v>
      </c>
      <c r="O140" s="2812">
        <f t="shared" si="33"/>
        <v>0</v>
      </c>
      <c r="P140" s="2812">
        <f t="shared" si="33"/>
        <v>0</v>
      </c>
      <c r="Q140" s="2812">
        <f t="shared" si="33"/>
        <v>0</v>
      </c>
      <c r="R140" s="2812">
        <f t="shared" si="33"/>
        <v>0</v>
      </c>
      <c r="S140" s="2812">
        <f t="shared" si="33"/>
        <v>0</v>
      </c>
      <c r="T140" s="2812">
        <f t="shared" si="33"/>
        <v>0</v>
      </c>
      <c r="U140" s="2848">
        <f t="shared" si="33"/>
        <v>230</v>
      </c>
    </row>
    <row r="141" spans="1:28" ht="21" x14ac:dyDescent="0.25">
      <c r="A141" s="1179"/>
      <c r="B141" s="1218" t="s">
        <v>1254</v>
      </c>
      <c r="C141" s="1215"/>
      <c r="D141" s="1217" t="s">
        <v>495</v>
      </c>
      <c r="E141" s="1217" t="s">
        <v>496</v>
      </c>
      <c r="F141" s="1217" t="s">
        <v>1283</v>
      </c>
      <c r="G141" s="1664"/>
      <c r="H141" s="2848">
        <f>H143</f>
        <v>130</v>
      </c>
      <c r="I141" s="2849">
        <f>I143</f>
        <v>0</v>
      </c>
      <c r="J141" s="2850">
        <f>J143</f>
        <v>0</v>
      </c>
      <c r="K141" s="2812"/>
      <c r="L141" s="2812"/>
      <c r="M141" s="2812"/>
      <c r="N141" s="2851">
        <f>N143</f>
        <v>230</v>
      </c>
      <c r="O141" s="2812"/>
      <c r="P141" s="2812"/>
      <c r="Q141" s="2812"/>
      <c r="R141" s="2812"/>
      <c r="S141" s="2812"/>
      <c r="T141" s="2812"/>
      <c r="U141" s="2848">
        <f>U143</f>
        <v>230</v>
      </c>
    </row>
    <row r="142" spans="1:28" x14ac:dyDescent="0.25">
      <c r="A142" s="1179"/>
      <c r="B142" s="753" t="s">
        <v>948</v>
      </c>
      <c r="C142" s="1215"/>
      <c r="D142" s="1217" t="s">
        <v>495</v>
      </c>
      <c r="E142" s="1217" t="s">
        <v>496</v>
      </c>
      <c r="F142" s="1217" t="s">
        <v>1283</v>
      </c>
      <c r="G142" s="1664" t="s">
        <v>955</v>
      </c>
      <c r="H142" s="2848">
        <f t="shared" ref="H142:U142" si="34">H143</f>
        <v>130</v>
      </c>
      <c r="I142" s="2849">
        <f t="shared" si="34"/>
        <v>0</v>
      </c>
      <c r="J142" s="2850">
        <f t="shared" si="34"/>
        <v>0</v>
      </c>
      <c r="K142" s="2812">
        <f t="shared" si="34"/>
        <v>0</v>
      </c>
      <c r="L142" s="2812">
        <f t="shared" si="34"/>
        <v>0</v>
      </c>
      <c r="M142" s="2812">
        <f t="shared" si="34"/>
        <v>0</v>
      </c>
      <c r="N142" s="2851">
        <f t="shared" si="34"/>
        <v>230</v>
      </c>
      <c r="O142" s="2812">
        <f t="shared" si="34"/>
        <v>0</v>
      </c>
      <c r="P142" s="2812">
        <f t="shared" si="34"/>
        <v>0</v>
      </c>
      <c r="Q142" s="2812">
        <f t="shared" si="34"/>
        <v>0</v>
      </c>
      <c r="R142" s="2812">
        <f t="shared" si="34"/>
        <v>0</v>
      </c>
      <c r="S142" s="2812">
        <f t="shared" si="34"/>
        <v>0</v>
      </c>
      <c r="T142" s="2812">
        <f t="shared" si="34"/>
        <v>0</v>
      </c>
      <c r="U142" s="2848">
        <f t="shared" si="34"/>
        <v>230</v>
      </c>
    </row>
    <row r="143" spans="1:28" ht="21" x14ac:dyDescent="0.25">
      <c r="A143" s="1179"/>
      <c r="B143" s="1182" t="s">
        <v>454</v>
      </c>
      <c r="C143" s="1183"/>
      <c r="D143" s="1217" t="s">
        <v>495</v>
      </c>
      <c r="E143" s="1217" t="s">
        <v>496</v>
      </c>
      <c r="F143" s="1217" t="s">
        <v>1283</v>
      </c>
      <c r="G143" s="1662" t="s">
        <v>1</v>
      </c>
      <c r="H143" s="2848">
        <v>130</v>
      </c>
      <c r="I143" s="2849"/>
      <c r="J143" s="2850"/>
      <c r="K143" s="2812"/>
      <c r="L143" s="2812"/>
      <c r="M143" s="2812"/>
      <c r="N143" s="2851">
        <v>230</v>
      </c>
      <c r="O143" s="2812"/>
      <c r="P143" s="2812"/>
      <c r="Q143" s="2812"/>
      <c r="R143" s="2812"/>
      <c r="S143" s="2812"/>
      <c r="T143" s="2812"/>
      <c r="U143" s="2848">
        <v>230</v>
      </c>
    </row>
    <row r="144" spans="1:28" hidden="1" x14ac:dyDescent="0.25">
      <c r="A144" s="1179"/>
      <c r="B144" s="1219" t="s">
        <v>568</v>
      </c>
      <c r="C144" s="1215"/>
      <c r="D144" s="1217" t="s">
        <v>495</v>
      </c>
      <c r="E144" s="1217" t="s">
        <v>539</v>
      </c>
      <c r="F144" s="1217" t="s">
        <v>233</v>
      </c>
      <c r="G144" s="1664" t="s">
        <v>91</v>
      </c>
      <c r="H144" s="2848"/>
      <c r="I144" s="2849">
        <f>I145</f>
        <v>0</v>
      </c>
      <c r="J144" s="2850">
        <f>J145</f>
        <v>0</v>
      </c>
      <c r="K144" s="2812"/>
      <c r="L144" s="2812"/>
      <c r="M144" s="2812"/>
      <c r="N144" s="2851">
        <f>N145</f>
        <v>0</v>
      </c>
      <c r="O144" s="2812"/>
      <c r="P144" s="2812"/>
      <c r="Q144" s="2812"/>
      <c r="R144" s="2812"/>
      <c r="S144" s="2812"/>
      <c r="T144" s="2812"/>
      <c r="U144" s="2848">
        <f>U145</f>
        <v>0</v>
      </c>
    </row>
    <row r="145" spans="1:21" ht="21" hidden="1" x14ac:dyDescent="0.25">
      <c r="A145" s="1179"/>
      <c r="B145" s="1182" t="s">
        <v>454</v>
      </c>
      <c r="C145" s="1183"/>
      <c r="D145" s="1217" t="s">
        <v>495</v>
      </c>
      <c r="E145" s="1217" t="s">
        <v>539</v>
      </c>
      <c r="F145" s="1217" t="s">
        <v>567</v>
      </c>
      <c r="G145" s="1662" t="s">
        <v>1</v>
      </c>
      <c r="H145" s="2848"/>
      <c r="I145" s="2849"/>
      <c r="J145" s="2850"/>
      <c r="K145" s="2812"/>
      <c r="L145" s="2812"/>
      <c r="M145" s="2812"/>
      <c r="N145" s="2851"/>
      <c r="O145" s="2812"/>
      <c r="P145" s="2812"/>
      <c r="Q145" s="2812"/>
      <c r="R145" s="2812"/>
      <c r="S145" s="2812"/>
      <c r="T145" s="2812"/>
      <c r="U145" s="2848"/>
    </row>
    <row r="146" spans="1:21" hidden="1" x14ac:dyDescent="0.25">
      <c r="A146" s="1179"/>
      <c r="B146" s="1219" t="s">
        <v>566</v>
      </c>
      <c r="C146" s="1215"/>
      <c r="D146" s="1217" t="s">
        <v>495</v>
      </c>
      <c r="E146" s="1217" t="s">
        <v>539</v>
      </c>
      <c r="F146" s="1217" t="s">
        <v>565</v>
      </c>
      <c r="G146" s="1664"/>
      <c r="H146" s="2848">
        <f>H147</f>
        <v>0</v>
      </c>
      <c r="I146" s="2849">
        <f>I147</f>
        <v>0</v>
      </c>
      <c r="J146" s="2850">
        <f>J147</f>
        <v>0</v>
      </c>
      <c r="K146" s="2812"/>
      <c r="L146" s="2812"/>
      <c r="M146" s="2812"/>
      <c r="N146" s="2851">
        <f>N147</f>
        <v>0</v>
      </c>
      <c r="O146" s="2812"/>
      <c r="P146" s="2812"/>
      <c r="Q146" s="2812"/>
      <c r="R146" s="2812"/>
      <c r="S146" s="2812"/>
      <c r="T146" s="2812"/>
      <c r="U146" s="2848">
        <f>U147</f>
        <v>0</v>
      </c>
    </row>
    <row r="147" spans="1:21" ht="21" hidden="1" x14ac:dyDescent="0.25">
      <c r="A147" s="1179"/>
      <c r="B147" s="1182" t="s">
        <v>454</v>
      </c>
      <c r="C147" s="1183"/>
      <c r="D147" s="1217" t="s">
        <v>495</v>
      </c>
      <c r="E147" s="1217" t="s">
        <v>539</v>
      </c>
      <c r="F147" s="1217" t="s">
        <v>565</v>
      </c>
      <c r="G147" s="1662" t="s">
        <v>1</v>
      </c>
      <c r="H147" s="2848"/>
      <c r="I147" s="2849"/>
      <c r="J147" s="2850"/>
      <c r="K147" s="2812"/>
      <c r="L147" s="2812"/>
      <c r="M147" s="2812"/>
      <c r="N147" s="2851"/>
      <c r="O147" s="2812"/>
      <c r="P147" s="2812"/>
      <c r="Q147" s="2812"/>
      <c r="R147" s="2812"/>
      <c r="S147" s="2812"/>
      <c r="T147" s="2812"/>
      <c r="U147" s="2848"/>
    </row>
    <row r="148" spans="1:21" ht="26" hidden="1" x14ac:dyDescent="0.3">
      <c r="A148" s="1179"/>
      <c r="B148" s="336" t="s">
        <v>1204</v>
      </c>
      <c r="C148" s="1183"/>
      <c r="D148" s="408" t="s">
        <v>495</v>
      </c>
      <c r="E148" s="408" t="s">
        <v>496</v>
      </c>
      <c r="F148" s="1217"/>
      <c r="G148" s="1662"/>
      <c r="H148" s="2852">
        <f>H149</f>
        <v>0</v>
      </c>
      <c r="I148" s="2849"/>
      <c r="J148" s="2850"/>
      <c r="K148" s="2812"/>
      <c r="L148" s="2812"/>
      <c r="M148" s="2812"/>
      <c r="N148" s="2851">
        <f t="shared" ref="N148:U148" si="35">N149</f>
        <v>0</v>
      </c>
      <c r="O148" s="2812">
        <f t="shared" si="35"/>
        <v>0</v>
      </c>
      <c r="P148" s="2812">
        <f t="shared" si="35"/>
        <v>0</v>
      </c>
      <c r="Q148" s="2812">
        <f t="shared" si="35"/>
        <v>0</v>
      </c>
      <c r="R148" s="2812">
        <f t="shared" si="35"/>
        <v>0</v>
      </c>
      <c r="S148" s="2812">
        <f t="shared" si="35"/>
        <v>0</v>
      </c>
      <c r="T148" s="2812">
        <f t="shared" si="35"/>
        <v>0</v>
      </c>
      <c r="U148" s="2848">
        <f t="shared" si="35"/>
        <v>0</v>
      </c>
    </row>
    <row r="149" spans="1:21" ht="21" hidden="1" x14ac:dyDescent="0.25">
      <c r="A149" s="1179"/>
      <c r="B149" s="1205" t="s">
        <v>912</v>
      </c>
      <c r="C149" s="1183"/>
      <c r="D149" s="1217" t="s">
        <v>495</v>
      </c>
      <c r="E149" s="1217" t="s">
        <v>496</v>
      </c>
      <c r="F149" s="409" t="s">
        <v>240</v>
      </c>
      <c r="G149" s="1662"/>
      <c r="H149" s="2848"/>
      <c r="I149" s="2849"/>
      <c r="J149" s="2850"/>
      <c r="K149" s="2812"/>
      <c r="L149" s="2812"/>
      <c r="M149" s="2812"/>
      <c r="N149" s="2851"/>
      <c r="O149" s="2812"/>
      <c r="P149" s="2812"/>
      <c r="Q149" s="2812"/>
      <c r="R149" s="2812"/>
      <c r="S149" s="2812"/>
      <c r="T149" s="2812"/>
      <c r="U149" s="2848"/>
    </row>
    <row r="150" spans="1:21" ht="42" hidden="1" x14ac:dyDescent="0.25">
      <c r="A150" s="1179"/>
      <c r="B150" s="1216" t="s">
        <v>926</v>
      </c>
      <c r="C150" s="1183"/>
      <c r="D150" s="1217" t="s">
        <v>495</v>
      </c>
      <c r="E150" s="1217" t="s">
        <v>496</v>
      </c>
      <c r="F150" s="1217" t="s">
        <v>238</v>
      </c>
      <c r="G150" s="1662"/>
      <c r="H150" s="2848"/>
      <c r="I150" s="2849"/>
      <c r="J150" s="2850"/>
      <c r="K150" s="2812"/>
      <c r="L150" s="2812"/>
      <c r="M150" s="2812"/>
      <c r="N150" s="2851"/>
      <c r="O150" s="2812"/>
      <c r="P150" s="2812"/>
      <c r="Q150" s="2812"/>
      <c r="R150" s="2812"/>
      <c r="S150" s="2812"/>
      <c r="T150" s="2812"/>
      <c r="U150" s="2848"/>
    </row>
    <row r="151" spans="1:21" ht="26" x14ac:dyDescent="0.25">
      <c r="A151" s="1179"/>
      <c r="B151" s="1093" t="s">
        <v>1289</v>
      </c>
      <c r="C151" s="1215"/>
      <c r="D151" s="1217" t="s">
        <v>495</v>
      </c>
      <c r="E151" s="1217" t="s">
        <v>496</v>
      </c>
      <c r="F151" s="1217" t="s">
        <v>1288</v>
      </c>
      <c r="G151" s="1664"/>
      <c r="H151" s="2848">
        <v>120</v>
      </c>
      <c r="I151" s="2849">
        <f>I152</f>
        <v>0</v>
      </c>
      <c r="J151" s="2850">
        <f>J152</f>
        <v>0</v>
      </c>
      <c r="K151" s="2812"/>
      <c r="L151" s="2812"/>
      <c r="M151" s="2812"/>
      <c r="N151" s="2851">
        <f>N154+N160</f>
        <v>562</v>
      </c>
      <c r="O151" s="2812"/>
      <c r="P151" s="2812"/>
      <c r="Q151" s="2812"/>
      <c r="R151" s="2812"/>
      <c r="S151" s="2812"/>
      <c r="T151" s="2812"/>
      <c r="U151" s="2848">
        <f>U154+U160</f>
        <v>371</v>
      </c>
    </row>
    <row r="152" spans="1:21" x14ac:dyDescent="0.25">
      <c r="A152" s="1179"/>
      <c r="B152" s="1117" t="s">
        <v>563</v>
      </c>
      <c r="C152" s="1188"/>
      <c r="D152" s="409" t="s">
        <v>495</v>
      </c>
      <c r="E152" s="409" t="s">
        <v>496</v>
      </c>
      <c r="F152" s="1217" t="s">
        <v>1287</v>
      </c>
      <c r="G152" s="1664"/>
      <c r="H152" s="2848">
        <f>H154+H155</f>
        <v>120</v>
      </c>
      <c r="I152" s="2849">
        <f>I154+I155</f>
        <v>0</v>
      </c>
      <c r="J152" s="2850">
        <f>J154+J155</f>
        <v>0</v>
      </c>
      <c r="K152" s="2812"/>
      <c r="L152" s="2812"/>
      <c r="M152" s="2812"/>
      <c r="N152" s="2851">
        <f>N154+N155</f>
        <v>320</v>
      </c>
      <c r="O152" s="2812"/>
      <c r="P152" s="2812"/>
      <c r="Q152" s="2812"/>
      <c r="R152" s="2812"/>
      <c r="S152" s="2812"/>
      <c r="T152" s="2812"/>
      <c r="U152" s="2848">
        <f>U154+U155</f>
        <v>120</v>
      </c>
    </row>
    <row r="153" spans="1:21" x14ac:dyDescent="0.25">
      <c r="A153" s="1179"/>
      <c r="B153" s="753" t="s">
        <v>948</v>
      </c>
      <c r="C153" s="1188"/>
      <c r="D153" s="409" t="s">
        <v>495</v>
      </c>
      <c r="E153" s="409" t="s">
        <v>496</v>
      </c>
      <c r="F153" s="1217" t="s">
        <v>1287</v>
      </c>
      <c r="G153" s="1664" t="s">
        <v>955</v>
      </c>
      <c r="H153" s="2848">
        <f t="shared" ref="H153:U153" si="36">H154</f>
        <v>120</v>
      </c>
      <c r="I153" s="2849">
        <f t="shared" si="36"/>
        <v>0</v>
      </c>
      <c r="J153" s="2850">
        <f t="shared" si="36"/>
        <v>0</v>
      </c>
      <c r="K153" s="2812">
        <f t="shared" si="36"/>
        <v>0</v>
      </c>
      <c r="L153" s="2812">
        <f t="shared" si="36"/>
        <v>0</v>
      </c>
      <c r="M153" s="2812">
        <f t="shared" si="36"/>
        <v>0</v>
      </c>
      <c r="N153" s="2851">
        <f t="shared" si="36"/>
        <v>320</v>
      </c>
      <c r="O153" s="2812">
        <f t="shared" si="36"/>
        <v>0</v>
      </c>
      <c r="P153" s="2812">
        <f t="shared" si="36"/>
        <v>0</v>
      </c>
      <c r="Q153" s="2812">
        <f t="shared" si="36"/>
        <v>0</v>
      </c>
      <c r="R153" s="2812">
        <f t="shared" si="36"/>
        <v>0</v>
      </c>
      <c r="S153" s="2812">
        <f t="shared" si="36"/>
        <v>0</v>
      </c>
      <c r="T153" s="2812">
        <f t="shared" si="36"/>
        <v>0</v>
      </c>
      <c r="U153" s="2848">
        <f t="shared" si="36"/>
        <v>120</v>
      </c>
    </row>
    <row r="154" spans="1:21" ht="21" x14ac:dyDescent="0.25">
      <c r="A154" s="1179"/>
      <c r="B154" s="1182" t="s">
        <v>454</v>
      </c>
      <c r="C154" s="1183"/>
      <c r="D154" s="409" t="s">
        <v>495</v>
      </c>
      <c r="E154" s="409" t="s">
        <v>496</v>
      </c>
      <c r="F154" s="1217" t="s">
        <v>1287</v>
      </c>
      <c r="G154" s="1664">
        <v>240</v>
      </c>
      <c r="H154" s="2848">
        <v>120</v>
      </c>
      <c r="I154" s="2849"/>
      <c r="J154" s="2850"/>
      <c r="K154" s="2812"/>
      <c r="L154" s="2812"/>
      <c r="M154" s="2812"/>
      <c r="N154" s="2851">
        <v>320</v>
      </c>
      <c r="O154" s="2812"/>
      <c r="P154" s="2812"/>
      <c r="Q154" s="2812"/>
      <c r="R154" s="2812"/>
      <c r="S154" s="2812"/>
      <c r="T154" s="2812"/>
      <c r="U154" s="2848">
        <v>120</v>
      </c>
    </row>
    <row r="155" spans="1:21" ht="21" hidden="1" x14ac:dyDescent="0.25">
      <c r="A155" s="1179"/>
      <c r="B155" s="1183" t="s">
        <v>562</v>
      </c>
      <c r="C155" s="1183"/>
      <c r="D155" s="409" t="s">
        <v>495</v>
      </c>
      <c r="E155" s="409" t="s">
        <v>496</v>
      </c>
      <c r="F155" s="1217" t="s">
        <v>229</v>
      </c>
      <c r="G155" s="1664" t="s">
        <v>561</v>
      </c>
      <c r="H155" s="2848"/>
      <c r="I155" s="2849"/>
      <c r="J155" s="2850"/>
      <c r="K155" s="2812"/>
      <c r="L155" s="2812"/>
      <c r="M155" s="2812"/>
      <c r="N155" s="2851"/>
      <c r="O155" s="2812"/>
      <c r="P155" s="2812"/>
      <c r="Q155" s="2812"/>
      <c r="R155" s="2812"/>
      <c r="S155" s="2812"/>
      <c r="T155" s="2812"/>
      <c r="U155" s="2848"/>
    </row>
    <row r="156" spans="1:21" hidden="1" x14ac:dyDescent="0.25">
      <c r="A156" s="1179"/>
      <c r="B156" s="1219" t="s">
        <v>560</v>
      </c>
      <c r="C156" s="1215"/>
      <c r="D156" s="1217" t="s">
        <v>495</v>
      </c>
      <c r="E156" s="1217" t="s">
        <v>496</v>
      </c>
      <c r="F156" s="1217" t="s">
        <v>227</v>
      </c>
      <c r="G156" s="1664"/>
      <c r="H156" s="2848">
        <f>H157</f>
        <v>487.2</v>
      </c>
      <c r="I156" s="2849">
        <f>I157</f>
        <v>0</v>
      </c>
      <c r="J156" s="2850">
        <f>J157</f>
        <v>0</v>
      </c>
      <c r="K156" s="2812"/>
      <c r="L156" s="2812"/>
      <c r="M156" s="2812"/>
      <c r="N156" s="2851">
        <f>N157</f>
        <v>242</v>
      </c>
      <c r="O156" s="2812"/>
      <c r="P156" s="2812"/>
      <c r="Q156" s="2812"/>
      <c r="R156" s="2812"/>
      <c r="S156" s="2812"/>
      <c r="T156" s="2812"/>
      <c r="U156" s="2848">
        <f>U157</f>
        <v>251</v>
      </c>
    </row>
    <row r="157" spans="1:21" ht="26" x14ac:dyDescent="0.25">
      <c r="A157" s="1179"/>
      <c r="B157" s="1093" t="s">
        <v>1291</v>
      </c>
      <c r="C157" s="1215"/>
      <c r="D157" s="1217" t="s">
        <v>495</v>
      </c>
      <c r="E157" s="1217" t="s">
        <v>496</v>
      </c>
      <c r="F157" s="1217" t="s">
        <v>1290</v>
      </c>
      <c r="G157" s="1664"/>
      <c r="H157" s="2848">
        <f>H158</f>
        <v>487.2</v>
      </c>
      <c r="I157" s="2849">
        <f>I158+I166</f>
        <v>0</v>
      </c>
      <c r="J157" s="2850">
        <f>J158+J166</f>
        <v>0</v>
      </c>
      <c r="K157" s="2812"/>
      <c r="L157" s="2812"/>
      <c r="M157" s="2812"/>
      <c r="N157" s="2851">
        <f>N158</f>
        <v>242</v>
      </c>
      <c r="O157" s="2812"/>
      <c r="P157" s="2812"/>
      <c r="Q157" s="2812"/>
      <c r="R157" s="2812"/>
      <c r="S157" s="2812"/>
      <c r="T157" s="2812"/>
      <c r="U157" s="2848">
        <f>U158</f>
        <v>251</v>
      </c>
    </row>
    <row r="158" spans="1:21" x14ac:dyDescent="0.25">
      <c r="A158" s="1179"/>
      <c r="B158" s="1863" t="s">
        <v>224</v>
      </c>
      <c r="C158" s="1188"/>
      <c r="D158" s="1217" t="s">
        <v>495</v>
      </c>
      <c r="E158" s="1217" t="s">
        <v>496</v>
      </c>
      <c r="F158" s="1217" t="s">
        <v>1350</v>
      </c>
      <c r="G158" s="1664"/>
      <c r="H158" s="2848">
        <f>H160</f>
        <v>487.2</v>
      </c>
      <c r="I158" s="2849">
        <f>I160</f>
        <v>0</v>
      </c>
      <c r="J158" s="2850">
        <f>J160</f>
        <v>0</v>
      </c>
      <c r="K158" s="2812"/>
      <c r="L158" s="2812"/>
      <c r="M158" s="2812"/>
      <c r="N158" s="2851">
        <f>N160</f>
        <v>242</v>
      </c>
      <c r="O158" s="2812"/>
      <c r="P158" s="2812"/>
      <c r="Q158" s="2812"/>
      <c r="R158" s="2812"/>
      <c r="S158" s="2812"/>
      <c r="T158" s="2812"/>
      <c r="U158" s="2848">
        <f>U160</f>
        <v>251</v>
      </c>
    </row>
    <row r="159" spans="1:21" x14ac:dyDescent="0.25">
      <c r="A159" s="1179"/>
      <c r="B159" s="753" t="s">
        <v>948</v>
      </c>
      <c r="C159" s="1188"/>
      <c r="D159" s="1217" t="s">
        <v>495</v>
      </c>
      <c r="E159" s="1217" t="s">
        <v>496</v>
      </c>
      <c r="F159" s="1217" t="s">
        <v>1350</v>
      </c>
      <c r="G159" s="1664" t="s">
        <v>955</v>
      </c>
      <c r="H159" s="2848">
        <f t="shared" ref="H159:U159" si="37">H160</f>
        <v>487.2</v>
      </c>
      <c r="I159" s="2849">
        <f t="shared" si="37"/>
        <v>0</v>
      </c>
      <c r="J159" s="2850">
        <f t="shared" si="37"/>
        <v>0</v>
      </c>
      <c r="K159" s="2812">
        <f t="shared" si="37"/>
        <v>0</v>
      </c>
      <c r="L159" s="2812">
        <f t="shared" si="37"/>
        <v>0</v>
      </c>
      <c r="M159" s="2812">
        <f t="shared" si="37"/>
        <v>0</v>
      </c>
      <c r="N159" s="2851">
        <f t="shared" si="37"/>
        <v>242</v>
      </c>
      <c r="O159" s="2812">
        <f t="shared" si="37"/>
        <v>0</v>
      </c>
      <c r="P159" s="2812">
        <f t="shared" si="37"/>
        <v>0</v>
      </c>
      <c r="Q159" s="2812">
        <f t="shared" si="37"/>
        <v>0</v>
      </c>
      <c r="R159" s="2812">
        <f t="shared" si="37"/>
        <v>0</v>
      </c>
      <c r="S159" s="2812">
        <f t="shared" si="37"/>
        <v>0</v>
      </c>
      <c r="T159" s="2812">
        <f t="shared" si="37"/>
        <v>0</v>
      </c>
      <c r="U159" s="2848">
        <f t="shared" si="37"/>
        <v>251</v>
      </c>
    </row>
    <row r="160" spans="1:21" ht="21" x14ac:dyDescent="0.25">
      <c r="A160" s="1179"/>
      <c r="B160" s="1182" t="s">
        <v>454</v>
      </c>
      <c r="C160" s="1183"/>
      <c r="D160" s="1217" t="s">
        <v>495</v>
      </c>
      <c r="E160" s="1217" t="s">
        <v>496</v>
      </c>
      <c r="F160" s="1217" t="s">
        <v>1350</v>
      </c>
      <c r="G160" s="1662" t="s">
        <v>1</v>
      </c>
      <c r="H160" s="2848">
        <v>487.2</v>
      </c>
      <c r="I160" s="2849"/>
      <c r="J160" s="2850"/>
      <c r="K160" s="2812"/>
      <c r="L160" s="2812"/>
      <c r="M160" s="2812"/>
      <c r="N160" s="2851">
        <v>242</v>
      </c>
      <c r="O160" s="2812"/>
      <c r="P160" s="2812"/>
      <c r="Q160" s="2812"/>
      <c r="R160" s="2812"/>
      <c r="S160" s="2812"/>
      <c r="T160" s="2812"/>
      <c r="U160" s="2848">
        <v>251</v>
      </c>
    </row>
    <row r="161" spans="1:25" ht="21" hidden="1" x14ac:dyDescent="0.25">
      <c r="A161" s="1179"/>
      <c r="B161" s="753" t="s">
        <v>499</v>
      </c>
      <c r="C161" s="1183"/>
      <c r="D161" s="1217" t="s">
        <v>495</v>
      </c>
      <c r="E161" s="1217" t="s">
        <v>539</v>
      </c>
      <c r="F161" s="409" t="s">
        <v>89</v>
      </c>
      <c r="G161" s="1662"/>
      <c r="H161" s="2848">
        <f>H162</f>
        <v>0</v>
      </c>
      <c r="I161" s="2849"/>
      <c r="J161" s="2850"/>
      <c r="K161" s="2812"/>
      <c r="L161" s="2812"/>
      <c r="M161" s="2812"/>
      <c r="N161" s="2851"/>
      <c r="O161" s="2812"/>
      <c r="P161" s="2812"/>
      <c r="Q161" s="2812"/>
      <c r="R161" s="2812"/>
      <c r="S161" s="2812"/>
      <c r="T161" s="2812"/>
      <c r="U161" s="2848"/>
    </row>
    <row r="162" spans="1:25" hidden="1" x14ac:dyDescent="0.25">
      <c r="A162" s="1179"/>
      <c r="B162" s="753" t="s">
        <v>109</v>
      </c>
      <c r="C162" s="1183"/>
      <c r="D162" s="1217" t="s">
        <v>495</v>
      </c>
      <c r="E162" s="1217" t="s">
        <v>539</v>
      </c>
      <c r="F162" s="409" t="s">
        <v>84</v>
      </c>
      <c r="G162" s="1662"/>
      <c r="H162" s="2848">
        <f>H163</f>
        <v>0</v>
      </c>
      <c r="I162" s="2849"/>
      <c r="J162" s="2850"/>
      <c r="K162" s="2812"/>
      <c r="L162" s="2812"/>
      <c r="M162" s="2812"/>
      <c r="N162" s="2851"/>
      <c r="O162" s="2812"/>
      <c r="P162" s="2812"/>
      <c r="Q162" s="2812"/>
      <c r="R162" s="2812"/>
      <c r="S162" s="2812"/>
      <c r="T162" s="2812"/>
      <c r="U162" s="2848"/>
    </row>
    <row r="163" spans="1:25" hidden="1" x14ac:dyDescent="0.25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82</v>
      </c>
      <c r="G163" s="1662"/>
      <c r="H163" s="2848">
        <f>H164</f>
        <v>0</v>
      </c>
      <c r="I163" s="2849"/>
      <c r="J163" s="2850"/>
      <c r="K163" s="2812"/>
      <c r="L163" s="2812"/>
      <c r="M163" s="2812"/>
      <c r="N163" s="2851"/>
      <c r="O163" s="2812"/>
      <c r="P163" s="2812"/>
      <c r="Q163" s="2812"/>
      <c r="R163" s="2812"/>
      <c r="S163" s="2812"/>
      <c r="T163" s="2812"/>
      <c r="U163" s="2848"/>
    </row>
    <row r="164" spans="1:25" ht="25.5" hidden="1" customHeight="1" x14ac:dyDescent="0.25">
      <c r="A164" s="1179"/>
      <c r="B164" s="1182" t="s">
        <v>237</v>
      </c>
      <c r="C164" s="1183"/>
      <c r="D164" s="1217" t="s">
        <v>495</v>
      </c>
      <c r="E164" s="1217" t="s">
        <v>539</v>
      </c>
      <c r="F164" s="1217" t="s">
        <v>1006</v>
      </c>
      <c r="G164" s="1662"/>
      <c r="H164" s="2848">
        <f>H165</f>
        <v>0</v>
      </c>
      <c r="I164" s="2849"/>
      <c r="J164" s="2850"/>
      <c r="K164" s="2812"/>
      <c r="L164" s="2812"/>
      <c r="M164" s="2812"/>
      <c r="N164" s="2851"/>
      <c r="O164" s="2812"/>
      <c r="P164" s="2812"/>
      <c r="Q164" s="2812"/>
      <c r="R164" s="2812"/>
      <c r="S164" s="2812"/>
      <c r="T164" s="2812"/>
      <c r="U164" s="2848"/>
    </row>
    <row r="165" spans="1:25" hidden="1" x14ac:dyDescent="0.25">
      <c r="A165" s="1179"/>
      <c r="B165" s="1182" t="s">
        <v>457</v>
      </c>
      <c r="C165" s="1183"/>
      <c r="D165" s="1217" t="s">
        <v>495</v>
      </c>
      <c r="E165" s="1217" t="s">
        <v>539</v>
      </c>
      <c r="F165" s="1217" t="s">
        <v>1006</v>
      </c>
      <c r="G165" s="1662" t="s">
        <v>91</v>
      </c>
      <c r="H165" s="2848"/>
      <c r="I165" s="2849"/>
      <c r="J165" s="2850"/>
      <c r="K165" s="2812"/>
      <c r="L165" s="2812"/>
      <c r="M165" s="2812"/>
      <c r="N165" s="2851"/>
      <c r="O165" s="2812"/>
      <c r="P165" s="2812"/>
      <c r="Q165" s="2812"/>
      <c r="R165" s="2812"/>
      <c r="S165" s="2812"/>
      <c r="T165" s="2812"/>
      <c r="U165" s="2848"/>
    </row>
    <row r="166" spans="1:25" ht="27" customHeight="1" x14ac:dyDescent="0.25">
      <c r="A166" s="1179"/>
      <c r="B166" s="1214" t="s">
        <v>833</v>
      </c>
      <c r="C166" s="1188"/>
      <c r="D166" s="1221" t="s">
        <v>495</v>
      </c>
      <c r="E166" s="1221" t="s">
        <v>832</v>
      </c>
      <c r="F166" s="408"/>
      <c r="G166" s="1769"/>
      <c r="H166" s="2852">
        <f>H168</f>
        <v>7.04</v>
      </c>
      <c r="I166" s="2849">
        <f>I168</f>
        <v>0</v>
      </c>
      <c r="J166" s="2850">
        <f>J168</f>
        <v>0</v>
      </c>
      <c r="K166" s="2812"/>
      <c r="L166" s="2812"/>
      <c r="M166" s="2812"/>
      <c r="N166" s="2856">
        <f>N168</f>
        <v>7.1</v>
      </c>
      <c r="O166" s="2812"/>
      <c r="P166" s="2812"/>
      <c r="Q166" s="2812"/>
      <c r="R166" s="2812"/>
      <c r="S166" s="2812"/>
      <c r="T166" s="2812"/>
      <c r="U166" s="2852">
        <f>U168</f>
        <v>7.1</v>
      </c>
      <c r="V166" s="1861">
        <v>7.1</v>
      </c>
      <c r="W166" s="1861">
        <v>7.1</v>
      </c>
      <c r="X166" s="1861">
        <v>7.1</v>
      </c>
      <c r="Y166" s="2266" t="s">
        <v>444</v>
      </c>
    </row>
    <row r="167" spans="1:25" ht="26.25" customHeight="1" x14ac:dyDescent="0.25">
      <c r="A167" s="1179"/>
      <c r="B167" s="753" t="s">
        <v>583</v>
      </c>
      <c r="C167" s="1188"/>
      <c r="D167" s="1217" t="s">
        <v>495</v>
      </c>
      <c r="E167" s="1217" t="s">
        <v>832</v>
      </c>
      <c r="F167" s="409" t="s">
        <v>157</v>
      </c>
      <c r="G167" s="1664"/>
      <c r="H167" s="2848">
        <f>H168</f>
        <v>7.04</v>
      </c>
      <c r="I167" s="2849"/>
      <c r="J167" s="2850"/>
      <c r="K167" s="2812"/>
      <c r="L167" s="2812"/>
      <c r="M167" s="2812"/>
      <c r="N167" s="2851">
        <f>N168</f>
        <v>7.1</v>
      </c>
      <c r="O167" s="2812"/>
      <c r="P167" s="2812"/>
      <c r="Q167" s="2812"/>
      <c r="R167" s="2812"/>
      <c r="S167" s="2812"/>
      <c r="T167" s="2812"/>
      <c r="U167" s="2848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1217" t="s">
        <v>495</v>
      </c>
      <c r="E168" s="1217" t="s">
        <v>832</v>
      </c>
      <c r="F168" s="409" t="s">
        <v>155</v>
      </c>
      <c r="G168" s="1662"/>
      <c r="H168" s="2848">
        <f>H169</f>
        <v>7.04</v>
      </c>
      <c r="I168" s="2849"/>
      <c r="J168" s="2850"/>
      <c r="K168" s="2812"/>
      <c r="L168" s="2812"/>
      <c r="M168" s="2812"/>
      <c r="N168" s="2851">
        <f>N169</f>
        <v>7.1</v>
      </c>
      <c r="O168" s="2812"/>
      <c r="P168" s="2812"/>
      <c r="Q168" s="2812"/>
      <c r="R168" s="2812"/>
      <c r="S168" s="2812"/>
      <c r="T168" s="2812"/>
      <c r="U168" s="2848">
        <f>U169</f>
        <v>7.1</v>
      </c>
    </row>
    <row r="169" spans="1:25" x14ac:dyDescent="0.25">
      <c r="A169" s="842"/>
      <c r="B169" s="1219" t="s">
        <v>109</v>
      </c>
      <c r="C169" s="1222"/>
      <c r="D169" s="409" t="s">
        <v>495</v>
      </c>
      <c r="E169" s="409" t="s">
        <v>832</v>
      </c>
      <c r="F169" s="409" t="s">
        <v>154</v>
      </c>
      <c r="G169" s="1662"/>
      <c r="H169" s="2848">
        <f>H170</f>
        <v>7.04</v>
      </c>
      <c r="I169" s="2853">
        <f t="shared" ref="I169:J170" si="38">I170</f>
        <v>0</v>
      </c>
      <c r="J169" s="2854">
        <f t="shared" si="38"/>
        <v>0</v>
      </c>
      <c r="K169" s="2812"/>
      <c r="L169" s="2812"/>
      <c r="M169" s="2812"/>
      <c r="N169" s="2851">
        <f>N170</f>
        <v>7.1</v>
      </c>
      <c r="O169" s="2812"/>
      <c r="P169" s="2812"/>
      <c r="Q169" s="2812"/>
      <c r="R169" s="2812"/>
      <c r="S169" s="2812"/>
      <c r="T169" s="2812"/>
      <c r="U169" s="2848">
        <f>U170</f>
        <v>7.1</v>
      </c>
    </row>
    <row r="170" spans="1:25" ht="31.5" x14ac:dyDescent="0.25">
      <c r="A170" s="1179"/>
      <c r="B170" s="1219" t="s">
        <v>834</v>
      </c>
      <c r="C170" s="1223"/>
      <c r="D170" s="409" t="s">
        <v>495</v>
      </c>
      <c r="E170" s="409" t="s">
        <v>832</v>
      </c>
      <c r="F170" s="409" t="s">
        <v>127</v>
      </c>
      <c r="G170" s="1662"/>
      <c r="H170" s="2848">
        <f>H171+H173</f>
        <v>7.04</v>
      </c>
      <c r="I170" s="2849">
        <f t="shared" si="38"/>
        <v>0</v>
      </c>
      <c r="J170" s="2850">
        <f t="shared" si="38"/>
        <v>0</v>
      </c>
      <c r="K170" s="2822">
        <f>K171+K173</f>
        <v>0</v>
      </c>
      <c r="L170" s="2812"/>
      <c r="M170" s="2812"/>
      <c r="N170" s="2851">
        <f>N171+N173</f>
        <v>7.1</v>
      </c>
      <c r="O170" s="2812"/>
      <c r="P170" s="2812"/>
      <c r="Q170" s="2812"/>
      <c r="R170" s="2812"/>
      <c r="S170" s="2812"/>
      <c r="T170" s="2812"/>
      <c r="U170" s="2848">
        <f>U171+U173</f>
        <v>7.1</v>
      </c>
    </row>
    <row r="171" spans="1:25" hidden="1" x14ac:dyDescent="0.25">
      <c r="A171" s="842"/>
      <c r="B171" s="753" t="s">
        <v>571</v>
      </c>
      <c r="C171" s="1224"/>
      <c r="D171" s="1217" t="s">
        <v>495</v>
      </c>
      <c r="E171" s="1217" t="s">
        <v>832</v>
      </c>
      <c r="F171" s="409" t="s">
        <v>127</v>
      </c>
      <c r="G171" s="1662" t="s">
        <v>5</v>
      </c>
      <c r="H171" s="2848"/>
      <c r="I171" s="2849"/>
      <c r="J171" s="2850"/>
      <c r="K171" s="2812"/>
      <c r="L171" s="2812"/>
      <c r="M171" s="2812"/>
      <c r="N171" s="2851"/>
      <c r="O171" s="2812"/>
      <c r="P171" s="2812"/>
      <c r="Q171" s="2812"/>
      <c r="R171" s="2812"/>
      <c r="S171" s="2812"/>
      <c r="T171" s="2812"/>
      <c r="U171" s="2848"/>
    </row>
    <row r="172" spans="1:25" x14ac:dyDescent="0.25">
      <c r="A172" s="842"/>
      <c r="B172" s="753" t="s">
        <v>948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955</v>
      </c>
      <c r="H172" s="2848">
        <f t="shared" ref="H172:U172" si="39">H173</f>
        <v>7.04</v>
      </c>
      <c r="I172" s="2849">
        <f t="shared" si="39"/>
        <v>0</v>
      </c>
      <c r="J172" s="2850">
        <f t="shared" si="39"/>
        <v>0</v>
      </c>
      <c r="K172" s="2812">
        <f t="shared" si="39"/>
        <v>0</v>
      </c>
      <c r="L172" s="2812">
        <f t="shared" si="39"/>
        <v>0</v>
      </c>
      <c r="M172" s="2812">
        <f t="shared" si="39"/>
        <v>0</v>
      </c>
      <c r="N172" s="2851">
        <f t="shared" si="39"/>
        <v>7.1</v>
      </c>
      <c r="O172" s="2812">
        <f t="shared" si="39"/>
        <v>0</v>
      </c>
      <c r="P172" s="2812">
        <f t="shared" si="39"/>
        <v>0</v>
      </c>
      <c r="Q172" s="2812">
        <f t="shared" si="39"/>
        <v>0</v>
      </c>
      <c r="R172" s="2812">
        <f t="shared" si="39"/>
        <v>0</v>
      </c>
      <c r="S172" s="2812">
        <f t="shared" si="39"/>
        <v>0</v>
      </c>
      <c r="T172" s="2812">
        <f t="shared" si="39"/>
        <v>0</v>
      </c>
      <c r="U172" s="2848">
        <f t="shared" si="39"/>
        <v>7.1</v>
      </c>
    </row>
    <row r="173" spans="1:25" ht="21" x14ac:dyDescent="0.25">
      <c r="A173" s="1179"/>
      <c r="B173" s="1182" t="s">
        <v>454</v>
      </c>
      <c r="C173" s="1183"/>
      <c r="D173" s="1217" t="s">
        <v>495</v>
      </c>
      <c r="E173" s="1217" t="s">
        <v>832</v>
      </c>
      <c r="F173" s="409" t="s">
        <v>127</v>
      </c>
      <c r="G173" s="1662" t="s">
        <v>1</v>
      </c>
      <c r="H173" s="2848">
        <f>7.1-0.06</f>
        <v>7.04</v>
      </c>
      <c r="I173" s="2849"/>
      <c r="J173" s="2850"/>
      <c r="K173" s="2812"/>
      <c r="L173" s="2812"/>
      <c r="M173" s="2812"/>
      <c r="N173" s="2851">
        <v>7.1</v>
      </c>
      <c r="O173" s="2812"/>
      <c r="P173" s="2812"/>
      <c r="Q173" s="2812"/>
      <c r="R173" s="2812"/>
      <c r="S173" s="2812"/>
      <c r="T173" s="2812"/>
      <c r="U173" s="2848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1227" t="s">
        <v>452</v>
      </c>
      <c r="E174" s="1227" t="s">
        <v>459</v>
      </c>
      <c r="F174" s="1227"/>
      <c r="G174" s="1665"/>
      <c r="H174" s="2857">
        <f>H187+H238</f>
        <v>34526.51182</v>
      </c>
      <c r="I174" s="2858" t="e">
        <f>I187+I238</f>
        <v>#REF!</v>
      </c>
      <c r="J174" s="2859" t="e">
        <f>J187+J238</f>
        <v>#REF!</v>
      </c>
      <c r="K174" s="2812"/>
      <c r="L174" s="2812"/>
      <c r="M174" s="2812"/>
      <c r="N174" s="2860">
        <f>N187+N238+N175</f>
        <v>2034.29</v>
      </c>
      <c r="O174" s="2812"/>
      <c r="P174" s="2812"/>
      <c r="Q174" s="2812"/>
      <c r="R174" s="2812"/>
      <c r="S174" s="2812"/>
      <c r="T174" s="2812"/>
      <c r="U174" s="2857">
        <f>U187+U238+U175</f>
        <v>2593.3869999999997</v>
      </c>
    </row>
    <row r="175" spans="1:25" hidden="1" x14ac:dyDescent="0.25">
      <c r="A175" s="1179"/>
      <c r="B175" s="1225" t="s">
        <v>1164</v>
      </c>
      <c r="C175" s="1226"/>
      <c r="D175" s="408" t="s">
        <v>452</v>
      </c>
      <c r="E175" s="408" t="s">
        <v>463</v>
      </c>
      <c r="F175" s="1227"/>
      <c r="G175" s="1665"/>
      <c r="H175" s="2857">
        <f>H181+H186</f>
        <v>0</v>
      </c>
      <c r="I175" s="2858"/>
      <c r="J175" s="2859"/>
      <c r="K175" s="2812"/>
      <c r="L175" s="2812"/>
      <c r="M175" s="2812"/>
      <c r="N175" s="2860">
        <f>N181+N186</f>
        <v>0</v>
      </c>
      <c r="O175" s="2812"/>
      <c r="P175" s="2812"/>
      <c r="Q175" s="2812"/>
      <c r="R175" s="2812"/>
      <c r="S175" s="2812"/>
      <c r="T175" s="2812"/>
      <c r="U175" s="2857">
        <f>U181+U186</f>
        <v>0</v>
      </c>
    </row>
    <row r="176" spans="1:25" ht="21" hidden="1" x14ac:dyDescent="0.25">
      <c r="A176" s="1179"/>
      <c r="B176" s="1205" t="s">
        <v>1207</v>
      </c>
      <c r="C176" s="1226"/>
      <c r="D176" s="409" t="s">
        <v>452</v>
      </c>
      <c r="E176" s="409" t="s">
        <v>463</v>
      </c>
      <c r="F176" s="409" t="s">
        <v>1165</v>
      </c>
      <c r="G176" s="1665"/>
      <c r="H176" s="2861">
        <f>H181+H186</f>
        <v>0</v>
      </c>
      <c r="I176" s="2858"/>
      <c r="J176" s="2859"/>
      <c r="K176" s="2812"/>
      <c r="L176" s="2812"/>
      <c r="M176" s="2812"/>
      <c r="N176" s="2862">
        <f>N181+N186</f>
        <v>0</v>
      </c>
      <c r="O176" s="2812"/>
      <c r="P176" s="2812"/>
      <c r="Q176" s="2812"/>
      <c r="R176" s="2812"/>
      <c r="S176" s="2812"/>
      <c r="T176" s="2812"/>
      <c r="U176" s="2861">
        <f>U181+U186</f>
        <v>0</v>
      </c>
    </row>
    <row r="177" spans="1:21" ht="21" hidden="1" x14ac:dyDescent="0.25">
      <c r="A177" s="1179"/>
      <c r="B177" s="1247" t="s">
        <v>1169</v>
      </c>
      <c r="C177" s="1226"/>
      <c r="D177" s="409" t="s">
        <v>452</v>
      </c>
      <c r="E177" s="409" t="s">
        <v>463</v>
      </c>
      <c r="F177" s="409" t="s">
        <v>1166</v>
      </c>
      <c r="G177" s="1665"/>
      <c r="H177" s="2861">
        <f>H178</f>
        <v>0</v>
      </c>
      <c r="I177" s="2858"/>
      <c r="J177" s="2859"/>
      <c r="K177" s="2812"/>
      <c r="L177" s="2812"/>
      <c r="M177" s="2812"/>
      <c r="N177" s="2862">
        <f>N178</f>
        <v>0</v>
      </c>
      <c r="O177" s="2812"/>
      <c r="P177" s="2812"/>
      <c r="Q177" s="2812"/>
      <c r="R177" s="2812"/>
      <c r="S177" s="2812"/>
      <c r="T177" s="2812"/>
      <c r="U177" s="2861">
        <f>U178</f>
        <v>0</v>
      </c>
    </row>
    <row r="178" spans="1:21" ht="21" hidden="1" x14ac:dyDescent="0.25">
      <c r="A178" s="1179"/>
      <c r="B178" s="1247" t="s">
        <v>1170</v>
      </c>
      <c r="C178" s="1226"/>
      <c r="D178" s="409" t="s">
        <v>452</v>
      </c>
      <c r="E178" s="409" t="s">
        <v>463</v>
      </c>
      <c r="F178" s="409" t="s">
        <v>1167</v>
      </c>
      <c r="G178" s="1665"/>
      <c r="H178" s="2861">
        <f>H179</f>
        <v>0</v>
      </c>
      <c r="I178" s="2858"/>
      <c r="J178" s="2859"/>
      <c r="K178" s="2812"/>
      <c r="L178" s="2812"/>
      <c r="M178" s="2812"/>
      <c r="N178" s="2862">
        <f>N179</f>
        <v>0</v>
      </c>
      <c r="O178" s="2812"/>
      <c r="P178" s="2812"/>
      <c r="Q178" s="2812"/>
      <c r="R178" s="2812"/>
      <c r="S178" s="2812"/>
      <c r="T178" s="2812"/>
      <c r="U178" s="2861">
        <f>U179</f>
        <v>0</v>
      </c>
    </row>
    <row r="179" spans="1:21" hidden="1" x14ac:dyDescent="0.25">
      <c r="A179" s="1179"/>
      <c r="B179" s="1247" t="s">
        <v>1171</v>
      </c>
      <c r="C179" s="1226"/>
      <c r="D179" s="409" t="s">
        <v>452</v>
      </c>
      <c r="E179" s="409" t="s">
        <v>463</v>
      </c>
      <c r="F179" s="409" t="s">
        <v>1168</v>
      </c>
      <c r="G179" s="1665"/>
      <c r="H179" s="2861">
        <f>H180</f>
        <v>0</v>
      </c>
      <c r="I179" s="2858"/>
      <c r="J179" s="2859"/>
      <c r="K179" s="2812"/>
      <c r="L179" s="2812"/>
      <c r="M179" s="2812"/>
      <c r="N179" s="2862">
        <f>N180</f>
        <v>0</v>
      </c>
      <c r="O179" s="2812"/>
      <c r="P179" s="2812"/>
      <c r="Q179" s="2812"/>
      <c r="R179" s="2812"/>
      <c r="S179" s="2812"/>
      <c r="T179" s="2812"/>
      <c r="U179" s="2861">
        <f>U180</f>
        <v>0</v>
      </c>
    </row>
    <row r="180" spans="1:21" hidden="1" x14ac:dyDescent="0.25">
      <c r="A180" s="1179"/>
      <c r="B180" s="753" t="s">
        <v>948</v>
      </c>
      <c r="C180" s="1226"/>
      <c r="D180" s="409" t="s">
        <v>452</v>
      </c>
      <c r="E180" s="409" t="s">
        <v>463</v>
      </c>
      <c r="F180" s="409" t="s">
        <v>1168</v>
      </c>
      <c r="G180" s="1662" t="s">
        <v>955</v>
      </c>
      <c r="H180" s="2861">
        <f>H181</f>
        <v>0</v>
      </c>
      <c r="I180" s="2858"/>
      <c r="J180" s="2859"/>
      <c r="K180" s="2812"/>
      <c r="L180" s="2812"/>
      <c r="M180" s="2812"/>
      <c r="N180" s="2862">
        <f>N181</f>
        <v>0</v>
      </c>
      <c r="O180" s="2812"/>
      <c r="P180" s="2812"/>
      <c r="Q180" s="2812"/>
      <c r="R180" s="2812"/>
      <c r="S180" s="2812"/>
      <c r="T180" s="2812"/>
      <c r="U180" s="2861">
        <f>U181</f>
        <v>0</v>
      </c>
    </row>
    <row r="181" spans="1:21" ht="21" hidden="1" x14ac:dyDescent="0.25">
      <c r="A181" s="1179"/>
      <c r="B181" s="1182" t="s">
        <v>454</v>
      </c>
      <c r="C181" s="1226"/>
      <c r="D181" s="409" t="s">
        <v>452</v>
      </c>
      <c r="E181" s="409" t="s">
        <v>463</v>
      </c>
      <c r="F181" s="409" t="s">
        <v>1168</v>
      </c>
      <c r="G181" s="1662" t="s">
        <v>1</v>
      </c>
      <c r="H181" s="2861">
        <v>0</v>
      </c>
      <c r="I181" s="2858"/>
      <c r="J181" s="2859"/>
      <c r="K181" s="2812"/>
      <c r="L181" s="2812"/>
      <c r="M181" s="2812"/>
      <c r="N181" s="2862">
        <v>0</v>
      </c>
      <c r="O181" s="2812"/>
      <c r="P181" s="2812"/>
      <c r="Q181" s="2812"/>
      <c r="R181" s="2812"/>
      <c r="S181" s="2812"/>
      <c r="T181" s="2812"/>
      <c r="U181" s="2861">
        <v>0</v>
      </c>
    </row>
    <row r="182" spans="1:21" ht="21" hidden="1" customHeight="1" x14ac:dyDescent="0.25">
      <c r="A182" s="1179"/>
      <c r="B182" s="1242" t="s">
        <v>1188</v>
      </c>
      <c r="C182" s="1226"/>
      <c r="D182" s="409" t="s">
        <v>452</v>
      </c>
      <c r="E182" s="409" t="s">
        <v>463</v>
      </c>
      <c r="F182" s="409" t="s">
        <v>1173</v>
      </c>
      <c r="G182" s="1662"/>
      <c r="H182" s="2861">
        <f>H183</f>
        <v>0</v>
      </c>
      <c r="I182" s="2858"/>
      <c r="J182" s="2859"/>
      <c r="K182" s="2812"/>
      <c r="L182" s="2812"/>
      <c r="M182" s="2812"/>
      <c r="N182" s="2862">
        <f>N183</f>
        <v>0</v>
      </c>
      <c r="O182" s="2812"/>
      <c r="P182" s="2812"/>
      <c r="Q182" s="2812"/>
      <c r="R182" s="2812"/>
      <c r="S182" s="2812"/>
      <c r="T182" s="2812"/>
      <c r="U182" s="2861">
        <f>U183</f>
        <v>0</v>
      </c>
    </row>
    <row r="183" spans="1:21" ht="21" hidden="1" customHeight="1" x14ac:dyDescent="0.25">
      <c r="A183" s="1179"/>
      <c r="B183" s="1242" t="s">
        <v>1189</v>
      </c>
      <c r="C183" s="1226"/>
      <c r="D183" s="409" t="s">
        <v>452</v>
      </c>
      <c r="E183" s="409" t="s">
        <v>463</v>
      </c>
      <c r="F183" s="409" t="s">
        <v>1174</v>
      </c>
      <c r="G183" s="1662"/>
      <c r="H183" s="2861">
        <f>H184</f>
        <v>0</v>
      </c>
      <c r="I183" s="2863"/>
      <c r="J183" s="2864"/>
      <c r="K183" s="2812"/>
      <c r="L183" s="2812"/>
      <c r="M183" s="2812"/>
      <c r="N183" s="2862">
        <f>N184</f>
        <v>0</v>
      </c>
      <c r="O183" s="2812"/>
      <c r="P183" s="2812"/>
      <c r="Q183" s="2812"/>
      <c r="R183" s="2812"/>
      <c r="S183" s="2812"/>
      <c r="T183" s="2812"/>
      <c r="U183" s="2861">
        <f>U184</f>
        <v>0</v>
      </c>
    </row>
    <row r="184" spans="1:21" ht="21" hidden="1" customHeight="1" x14ac:dyDescent="0.25">
      <c r="A184" s="1179"/>
      <c r="B184" s="1242" t="s">
        <v>1176</v>
      </c>
      <c r="C184" s="1226"/>
      <c r="D184" s="409" t="s">
        <v>452</v>
      </c>
      <c r="E184" s="409" t="s">
        <v>463</v>
      </c>
      <c r="F184" s="2046" t="s">
        <v>1175</v>
      </c>
      <c r="G184" s="1662"/>
      <c r="H184" s="2861">
        <f>H185</f>
        <v>0</v>
      </c>
      <c r="I184" s="2863"/>
      <c r="J184" s="2864"/>
      <c r="K184" s="2812"/>
      <c r="L184" s="2812"/>
      <c r="M184" s="2812"/>
      <c r="N184" s="2862">
        <f>N185</f>
        <v>0</v>
      </c>
      <c r="O184" s="2812"/>
      <c r="P184" s="2812"/>
      <c r="Q184" s="2812"/>
      <c r="R184" s="2812"/>
      <c r="S184" s="2812"/>
      <c r="T184" s="2812"/>
      <c r="U184" s="2861">
        <f>U185</f>
        <v>0</v>
      </c>
    </row>
    <row r="185" spans="1:21" ht="12.65" hidden="1" customHeight="1" x14ac:dyDescent="0.25">
      <c r="A185" s="1179"/>
      <c r="B185" s="1242" t="s">
        <v>1061</v>
      </c>
      <c r="C185" s="1226"/>
      <c r="D185" s="409" t="s">
        <v>452</v>
      </c>
      <c r="E185" s="409" t="s">
        <v>463</v>
      </c>
      <c r="F185" s="2046" t="s">
        <v>1175</v>
      </c>
      <c r="G185" s="1662" t="s">
        <v>1060</v>
      </c>
      <c r="H185" s="2861">
        <f>H186</f>
        <v>0</v>
      </c>
      <c r="I185" s="2863"/>
      <c r="J185" s="2864"/>
      <c r="K185" s="2812"/>
      <c r="L185" s="2812"/>
      <c r="M185" s="2812"/>
      <c r="N185" s="2862">
        <f>N186</f>
        <v>0</v>
      </c>
      <c r="O185" s="2812"/>
      <c r="P185" s="2812"/>
      <c r="Q185" s="2812"/>
      <c r="R185" s="2812"/>
      <c r="S185" s="2812"/>
      <c r="T185" s="2812"/>
      <c r="U185" s="2861">
        <f>U186</f>
        <v>0</v>
      </c>
    </row>
    <row r="186" spans="1:21" ht="12.65" hidden="1" customHeight="1" x14ac:dyDescent="0.25">
      <c r="A186" s="1179"/>
      <c r="B186" s="1182" t="s">
        <v>481</v>
      </c>
      <c r="C186" s="1226"/>
      <c r="D186" s="409" t="s">
        <v>452</v>
      </c>
      <c r="E186" s="409" t="s">
        <v>463</v>
      </c>
      <c r="F186" s="2046" t="s">
        <v>1175</v>
      </c>
      <c r="G186" s="1662" t="s">
        <v>26</v>
      </c>
      <c r="H186" s="2861">
        <v>0</v>
      </c>
      <c r="I186" s="2863"/>
      <c r="J186" s="2864"/>
      <c r="K186" s="2812"/>
      <c r="L186" s="2812"/>
      <c r="M186" s="2812"/>
      <c r="N186" s="2862">
        <v>0</v>
      </c>
      <c r="O186" s="2812"/>
      <c r="P186" s="2812"/>
      <c r="Q186" s="2812"/>
      <c r="R186" s="2812"/>
      <c r="S186" s="2812"/>
      <c r="T186" s="2812"/>
      <c r="U186" s="2861">
        <v>0</v>
      </c>
    </row>
    <row r="187" spans="1:21" x14ac:dyDescent="0.25">
      <c r="A187" s="1229"/>
      <c r="B187" s="1225" t="s">
        <v>60</v>
      </c>
      <c r="C187" s="1227"/>
      <c r="D187" s="1227" t="s">
        <v>452</v>
      </c>
      <c r="E187" s="1227" t="s">
        <v>539</v>
      </c>
      <c r="F187" s="1227"/>
      <c r="G187" s="1665"/>
      <c r="H187" s="2857">
        <f>H188</f>
        <v>30534.840909999999</v>
      </c>
      <c r="I187" s="2858" t="e">
        <f>I188</f>
        <v>#REF!</v>
      </c>
      <c r="J187" s="2859" t="e">
        <f>J188</f>
        <v>#REF!</v>
      </c>
      <c r="K187" s="2812"/>
      <c r="L187" s="2812"/>
      <c r="M187" s="2812"/>
      <c r="N187" s="2860">
        <f>N205+N209+N217+N220+N237+N214</f>
        <v>1158.3</v>
      </c>
      <c r="O187" s="2812"/>
      <c r="P187" s="2812"/>
      <c r="Q187" s="2812"/>
      <c r="R187" s="2812"/>
      <c r="S187" s="2812"/>
      <c r="T187" s="2812"/>
      <c r="U187" s="2857">
        <f>U205+U209+U217+U220+U237+U214</f>
        <v>1158.3</v>
      </c>
    </row>
    <row r="188" spans="1:21" ht="30" customHeight="1" x14ac:dyDescent="0.25">
      <c r="A188" s="1179"/>
      <c r="B188" s="1205" t="s">
        <v>1138</v>
      </c>
      <c r="C188" s="409"/>
      <c r="D188" s="409" t="s">
        <v>452</v>
      </c>
      <c r="E188" s="409" t="s">
        <v>539</v>
      </c>
      <c r="F188" s="409" t="s">
        <v>218</v>
      </c>
      <c r="G188" s="1662"/>
      <c r="H188" s="2848">
        <f>H189+H201</f>
        <v>30534.840909999999</v>
      </c>
      <c r="I188" s="2849" t="e">
        <f>I201+#REF!</f>
        <v>#REF!</v>
      </c>
      <c r="J188" s="2865" t="e">
        <f>J201+#REF!</f>
        <v>#REF!</v>
      </c>
      <c r="K188" s="2812"/>
      <c r="L188" s="2812"/>
      <c r="M188" s="2812"/>
      <c r="N188" s="2851">
        <f>N201+N210</f>
        <v>1158.3</v>
      </c>
      <c r="O188" s="2812">
        <f t="shared" ref="O188:U188" si="40">O209+O214+O220</f>
        <v>0</v>
      </c>
      <c r="P188" s="2812">
        <f t="shared" si="40"/>
        <v>0</v>
      </c>
      <c r="Q188" s="2812">
        <f t="shared" si="40"/>
        <v>0</v>
      </c>
      <c r="R188" s="2812">
        <f t="shared" si="40"/>
        <v>0</v>
      </c>
      <c r="S188" s="2812">
        <f t="shared" si="40"/>
        <v>0</v>
      </c>
      <c r="T188" s="2812">
        <f t="shared" si="40"/>
        <v>0</v>
      </c>
      <c r="U188" s="2848">
        <f t="shared" si="40"/>
        <v>1158.3</v>
      </c>
    </row>
    <row r="189" spans="1:21" ht="30" customHeight="1" x14ac:dyDescent="0.25">
      <c r="A189" s="1179"/>
      <c r="B189" s="2999" t="s">
        <v>1263</v>
      </c>
      <c r="C189" s="1217"/>
      <c r="D189" s="1217" t="s">
        <v>452</v>
      </c>
      <c r="E189" s="1217" t="s">
        <v>539</v>
      </c>
      <c r="F189" s="1204" t="s">
        <v>1302</v>
      </c>
      <c r="G189" s="1662"/>
      <c r="H189" s="2848">
        <f>H193+H197</f>
        <v>2892.3048699999999</v>
      </c>
      <c r="I189" s="2849"/>
      <c r="J189" s="2850"/>
      <c r="K189" s="2812"/>
      <c r="L189" s="2812"/>
      <c r="M189" s="2812"/>
      <c r="N189" s="2851">
        <f t="shared" ref="N189:U189" si="41">N193+N197</f>
        <v>1158.3</v>
      </c>
      <c r="O189" s="2812">
        <f t="shared" si="41"/>
        <v>0</v>
      </c>
      <c r="P189" s="2812">
        <f t="shared" si="41"/>
        <v>0</v>
      </c>
      <c r="Q189" s="2812">
        <f t="shared" si="41"/>
        <v>0</v>
      </c>
      <c r="R189" s="2812">
        <f t="shared" si="41"/>
        <v>0</v>
      </c>
      <c r="S189" s="2812">
        <f t="shared" si="41"/>
        <v>0</v>
      </c>
      <c r="T189" s="2812">
        <f t="shared" si="41"/>
        <v>0</v>
      </c>
      <c r="U189" s="2848">
        <f t="shared" si="41"/>
        <v>1158.3</v>
      </c>
    </row>
    <row r="190" spans="1:21" ht="50.5" customHeight="1" x14ac:dyDescent="0.3">
      <c r="A190" s="1179"/>
      <c r="B190" s="336" t="s">
        <v>1301</v>
      </c>
      <c r="C190" s="1217"/>
      <c r="D190" s="1217" t="s">
        <v>452</v>
      </c>
      <c r="E190" s="1217" t="s">
        <v>539</v>
      </c>
      <c r="F190" s="1204" t="s">
        <v>1300</v>
      </c>
      <c r="G190" s="1662"/>
      <c r="H190" s="2848">
        <f>H191</f>
        <v>2142.3048699999999</v>
      </c>
      <c r="I190" s="2849"/>
      <c r="J190" s="2850"/>
      <c r="K190" s="2812"/>
      <c r="L190" s="2812"/>
      <c r="M190" s="2812"/>
      <c r="N190" s="2851">
        <f>N191</f>
        <v>948.3</v>
      </c>
      <c r="O190" s="2812"/>
      <c r="P190" s="2812"/>
      <c r="Q190" s="2812"/>
      <c r="R190" s="2812"/>
      <c r="S190" s="2812"/>
      <c r="T190" s="2812"/>
      <c r="U190" s="2848">
        <f>U191</f>
        <v>948.3</v>
      </c>
    </row>
    <row r="191" spans="1:21" ht="30" customHeight="1" x14ac:dyDescent="0.25">
      <c r="A191" s="1179"/>
      <c r="B191" s="1098" t="s">
        <v>201</v>
      </c>
      <c r="C191" s="1217"/>
      <c r="D191" s="1217" t="s">
        <v>452</v>
      </c>
      <c r="E191" s="1217" t="s">
        <v>539</v>
      </c>
      <c r="F191" s="1204" t="s">
        <v>1299</v>
      </c>
      <c r="G191" s="1662"/>
      <c r="H191" s="2848">
        <f>H192</f>
        <v>2142.3048699999999</v>
      </c>
      <c r="I191" s="2849">
        <f>I193</f>
        <v>0</v>
      </c>
      <c r="J191" s="2850">
        <f>J193</f>
        <v>0</v>
      </c>
      <c r="K191" s="2812"/>
      <c r="L191" s="2812"/>
      <c r="M191" s="2812"/>
      <c r="N191" s="2851">
        <f>N192</f>
        <v>948.3</v>
      </c>
      <c r="O191" s="2812"/>
      <c r="P191" s="2812"/>
      <c r="Q191" s="2812"/>
      <c r="R191" s="2812"/>
      <c r="S191" s="2812"/>
      <c r="T191" s="2812"/>
      <c r="U191" s="2848">
        <f>U193</f>
        <v>948.3</v>
      </c>
    </row>
    <row r="192" spans="1:21" ht="30" customHeight="1" x14ac:dyDescent="0.25">
      <c r="A192" s="1179"/>
      <c r="B192" s="753" t="s">
        <v>948</v>
      </c>
      <c r="C192" s="1217"/>
      <c r="D192" s="1217" t="s">
        <v>452</v>
      </c>
      <c r="E192" s="1217" t="s">
        <v>539</v>
      </c>
      <c r="F192" s="1204" t="s">
        <v>1299</v>
      </c>
      <c r="G192" s="1662" t="s">
        <v>955</v>
      </c>
      <c r="H192" s="2848">
        <f>H193</f>
        <v>2142.3048699999999</v>
      </c>
      <c r="I192" s="2849"/>
      <c r="J192" s="2850"/>
      <c r="K192" s="2812"/>
      <c r="L192" s="2812"/>
      <c r="M192" s="2812"/>
      <c r="N192" s="2851">
        <f>N193</f>
        <v>948.3</v>
      </c>
      <c r="O192" s="2812"/>
      <c r="P192" s="2812"/>
      <c r="Q192" s="2812"/>
      <c r="R192" s="2812"/>
      <c r="S192" s="2812"/>
      <c r="T192" s="2812"/>
      <c r="U192" s="2848">
        <f>U193</f>
        <v>948.3</v>
      </c>
    </row>
    <row r="193" spans="1:24" ht="30" customHeight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04" t="s">
        <v>1299</v>
      </c>
      <c r="G193" s="1662" t="s">
        <v>1</v>
      </c>
      <c r="H193" s="2848">
        <f>2000+142.30487</f>
        <v>2142.3048699999999</v>
      </c>
      <c r="I193" s="2849"/>
      <c r="J193" s="2850"/>
      <c r="K193" s="2812"/>
      <c r="L193" s="2812"/>
      <c r="M193" s="2812"/>
      <c r="N193" s="2851">
        <v>948.3</v>
      </c>
      <c r="O193" s="2812"/>
      <c r="P193" s="2812"/>
      <c r="Q193" s="2812"/>
      <c r="R193" s="2812"/>
      <c r="S193" s="2812"/>
      <c r="T193" s="2812"/>
      <c r="U193" s="2848">
        <v>948.3</v>
      </c>
    </row>
    <row r="194" spans="1:24" ht="30" customHeight="1" x14ac:dyDescent="0.25">
      <c r="A194" s="1179"/>
      <c r="B194" s="1093" t="s">
        <v>1305</v>
      </c>
      <c r="C194" s="1217"/>
      <c r="D194" s="1217" t="s">
        <v>452</v>
      </c>
      <c r="E194" s="1217" t="s">
        <v>539</v>
      </c>
      <c r="F194" s="1217" t="s">
        <v>1304</v>
      </c>
      <c r="G194" s="1662"/>
      <c r="H194" s="2848">
        <f>H195</f>
        <v>750</v>
      </c>
      <c r="I194" s="2849">
        <f>I195+I197</f>
        <v>0</v>
      </c>
      <c r="J194" s="2850">
        <f>J195+J197</f>
        <v>0</v>
      </c>
      <c r="K194" s="2812"/>
      <c r="L194" s="2812"/>
      <c r="M194" s="2812"/>
      <c r="N194" s="2851">
        <f t="shared" ref="N194:U194" si="42">N195</f>
        <v>210</v>
      </c>
      <c r="O194" s="2812">
        <f t="shared" si="42"/>
        <v>0</v>
      </c>
      <c r="P194" s="2812">
        <f t="shared" si="42"/>
        <v>0</v>
      </c>
      <c r="Q194" s="2812">
        <f t="shared" si="42"/>
        <v>0</v>
      </c>
      <c r="R194" s="2812">
        <f t="shared" si="42"/>
        <v>0</v>
      </c>
      <c r="S194" s="2812">
        <f t="shared" si="42"/>
        <v>0</v>
      </c>
      <c r="T194" s="2812">
        <f t="shared" si="42"/>
        <v>0</v>
      </c>
      <c r="U194" s="2848">
        <f t="shared" si="42"/>
        <v>210</v>
      </c>
    </row>
    <row r="195" spans="1:24" ht="30" customHeight="1" x14ac:dyDescent="0.25">
      <c r="A195" s="1179"/>
      <c r="B195" s="1197" t="s">
        <v>199</v>
      </c>
      <c r="C195" s="1217"/>
      <c r="D195" s="1217" t="s">
        <v>452</v>
      </c>
      <c r="E195" s="1217" t="s">
        <v>539</v>
      </c>
      <c r="F195" s="1204" t="s">
        <v>1303</v>
      </c>
      <c r="G195" s="1662"/>
      <c r="H195" s="2848">
        <f>H197</f>
        <v>750</v>
      </c>
      <c r="I195" s="2849">
        <f>I197</f>
        <v>0</v>
      </c>
      <c r="J195" s="2850">
        <f>J197</f>
        <v>0</v>
      </c>
      <c r="K195" s="2812"/>
      <c r="L195" s="2812"/>
      <c r="M195" s="2812"/>
      <c r="N195" s="2851">
        <f>N197</f>
        <v>210</v>
      </c>
      <c r="O195" s="2812"/>
      <c r="P195" s="2812"/>
      <c r="Q195" s="2812"/>
      <c r="R195" s="2812"/>
      <c r="S195" s="2812"/>
      <c r="T195" s="2812"/>
      <c r="U195" s="2848">
        <f>U197</f>
        <v>210</v>
      </c>
    </row>
    <row r="196" spans="1:24" ht="30" customHeight="1" x14ac:dyDescent="0.25">
      <c r="A196" s="1179"/>
      <c r="B196" s="753" t="s">
        <v>948</v>
      </c>
      <c r="C196" s="1217"/>
      <c r="D196" s="1217" t="s">
        <v>452</v>
      </c>
      <c r="E196" s="1217" t="s">
        <v>539</v>
      </c>
      <c r="F196" s="1204" t="s">
        <v>1303</v>
      </c>
      <c r="G196" s="1662" t="s">
        <v>955</v>
      </c>
      <c r="H196" s="2848">
        <f t="shared" ref="H196:U196" si="43">H197</f>
        <v>750</v>
      </c>
      <c r="I196" s="2849">
        <f t="shared" si="43"/>
        <v>0</v>
      </c>
      <c r="J196" s="2850">
        <f t="shared" si="43"/>
        <v>0</v>
      </c>
      <c r="K196" s="2812">
        <f t="shared" si="43"/>
        <v>0</v>
      </c>
      <c r="L196" s="2812">
        <f t="shared" si="43"/>
        <v>0</v>
      </c>
      <c r="M196" s="2812">
        <f t="shared" si="43"/>
        <v>0</v>
      </c>
      <c r="N196" s="2851">
        <f t="shared" si="43"/>
        <v>210</v>
      </c>
      <c r="O196" s="2812">
        <f t="shared" si="43"/>
        <v>0</v>
      </c>
      <c r="P196" s="2812">
        <f t="shared" si="43"/>
        <v>0</v>
      </c>
      <c r="Q196" s="2812">
        <f t="shared" si="43"/>
        <v>0</v>
      </c>
      <c r="R196" s="2812">
        <f t="shared" si="43"/>
        <v>0</v>
      </c>
      <c r="S196" s="2812">
        <f t="shared" si="43"/>
        <v>0</v>
      </c>
      <c r="T196" s="2812">
        <f t="shared" si="43"/>
        <v>0</v>
      </c>
      <c r="U196" s="2848">
        <f t="shared" si="43"/>
        <v>210</v>
      </c>
    </row>
    <row r="197" spans="1:24" ht="30" customHeight="1" x14ac:dyDescent="0.25">
      <c r="A197" s="1179"/>
      <c r="B197" s="1182" t="s">
        <v>454</v>
      </c>
      <c r="C197" s="1217"/>
      <c r="D197" s="1217" t="s">
        <v>452</v>
      </c>
      <c r="E197" s="1217" t="s">
        <v>539</v>
      </c>
      <c r="F197" s="1204" t="s">
        <v>1303</v>
      </c>
      <c r="G197" s="1662" t="s">
        <v>1</v>
      </c>
      <c r="H197" s="2848">
        <v>750</v>
      </c>
      <c r="I197" s="2849"/>
      <c r="J197" s="2850"/>
      <c r="K197" s="2812"/>
      <c r="L197" s="2812"/>
      <c r="M197" s="2812"/>
      <c r="N197" s="2851">
        <f>1210-1000</f>
        <v>210</v>
      </c>
      <c r="O197" s="2812"/>
      <c r="P197" s="2812"/>
      <c r="Q197" s="2812"/>
      <c r="R197" s="2812"/>
      <c r="S197" s="2812"/>
      <c r="T197" s="2812"/>
      <c r="U197" s="2848">
        <v>210</v>
      </c>
    </row>
    <row r="198" spans="1:24" ht="30" hidden="1" customHeight="1" x14ac:dyDescent="0.25">
      <c r="A198" s="1179"/>
      <c r="B198" s="1205"/>
      <c r="C198" s="409"/>
      <c r="D198" s="409"/>
      <c r="E198" s="409"/>
      <c r="F198" s="409"/>
      <c r="G198" s="1662"/>
      <c r="H198" s="2848"/>
      <c r="I198" s="2849"/>
      <c r="J198" s="2865"/>
      <c r="K198" s="2812"/>
      <c r="L198" s="2812"/>
      <c r="M198" s="2812"/>
      <c r="N198" s="2851"/>
      <c r="O198" s="2812"/>
      <c r="P198" s="2812"/>
      <c r="Q198" s="2812"/>
      <c r="R198" s="2812"/>
      <c r="S198" s="2812"/>
      <c r="T198" s="2812"/>
      <c r="U198" s="2848"/>
    </row>
    <row r="199" spans="1:24" ht="30" hidden="1" customHeight="1" x14ac:dyDescent="0.25">
      <c r="A199" s="1179"/>
      <c r="B199" s="1205"/>
      <c r="C199" s="409"/>
      <c r="D199" s="409"/>
      <c r="E199" s="409"/>
      <c r="F199" s="409"/>
      <c r="G199" s="1662"/>
      <c r="H199" s="2848"/>
      <c r="I199" s="2849"/>
      <c r="J199" s="2865"/>
      <c r="K199" s="2812"/>
      <c r="L199" s="2812"/>
      <c r="M199" s="2812"/>
      <c r="N199" s="2851"/>
      <c r="O199" s="2812"/>
      <c r="P199" s="2812"/>
      <c r="Q199" s="2812"/>
      <c r="R199" s="2812"/>
      <c r="S199" s="2812"/>
      <c r="T199" s="2812"/>
      <c r="U199" s="2848"/>
    </row>
    <row r="200" spans="1:24" ht="30" hidden="1" customHeight="1" x14ac:dyDescent="0.25">
      <c r="A200" s="1179"/>
      <c r="B200" s="1205"/>
      <c r="C200" s="409"/>
      <c r="D200" s="409"/>
      <c r="E200" s="409"/>
      <c r="F200" s="409"/>
      <c r="G200" s="1662"/>
      <c r="H200" s="2848"/>
      <c r="I200" s="2849"/>
      <c r="J200" s="2865"/>
      <c r="K200" s="2812"/>
      <c r="L200" s="2812"/>
      <c r="M200" s="2812"/>
      <c r="N200" s="2851"/>
      <c r="O200" s="2812"/>
      <c r="P200" s="2812"/>
      <c r="Q200" s="2812"/>
      <c r="R200" s="2812"/>
      <c r="S200" s="2812"/>
      <c r="T200" s="2812"/>
      <c r="U200" s="2848"/>
    </row>
    <row r="201" spans="1:24" ht="13" x14ac:dyDescent="0.25">
      <c r="A201" s="1179"/>
      <c r="B201" s="157" t="s">
        <v>1297</v>
      </c>
      <c r="C201" s="1217"/>
      <c r="D201" s="1217" t="s">
        <v>452</v>
      </c>
      <c r="E201" s="1217" t="s">
        <v>539</v>
      </c>
      <c r="F201" s="409" t="s">
        <v>1296</v>
      </c>
      <c r="G201" s="1664"/>
      <c r="H201" s="2848">
        <f>H202</f>
        <v>27642.536039999999</v>
      </c>
      <c r="I201" s="2849">
        <f>I202</f>
        <v>0</v>
      </c>
      <c r="J201" s="2865">
        <f>J202</f>
        <v>0</v>
      </c>
      <c r="K201" s="2822">
        <f>K205+K209+K217+K220+K237</f>
        <v>388.9</v>
      </c>
      <c r="L201" s="2812"/>
      <c r="M201" s="2812"/>
      <c r="N201" s="2851">
        <f>N202</f>
        <v>0</v>
      </c>
      <c r="O201" s="2812"/>
      <c r="P201" s="2812"/>
      <c r="Q201" s="2812"/>
      <c r="R201" s="2812"/>
      <c r="S201" s="2812"/>
      <c r="T201" s="2812"/>
      <c r="U201" s="2848">
        <f>U202</f>
        <v>0</v>
      </c>
    </row>
    <row r="202" spans="1:24" ht="26" x14ac:dyDescent="0.25">
      <c r="A202" s="1179"/>
      <c r="B202" s="1093" t="s">
        <v>1298</v>
      </c>
      <c r="C202" s="1217"/>
      <c r="D202" s="1217" t="s">
        <v>452</v>
      </c>
      <c r="E202" s="1217" t="s">
        <v>539</v>
      </c>
      <c r="F202" s="1217" t="s">
        <v>1295</v>
      </c>
      <c r="G202" s="1664"/>
      <c r="H202" s="2848">
        <f>H206</f>
        <v>27642.536039999999</v>
      </c>
      <c r="I202" s="2849">
        <f>I203+I207+I214</f>
        <v>0</v>
      </c>
      <c r="J202" s="2865">
        <f>J203+J207+J214</f>
        <v>0</v>
      </c>
      <c r="K202" s="2812"/>
      <c r="L202" s="2812"/>
      <c r="M202" s="2812"/>
      <c r="N202" s="2851">
        <f t="shared" ref="N202:U202" si="44">N206</f>
        <v>0</v>
      </c>
      <c r="O202" s="2812">
        <f t="shared" si="44"/>
        <v>0</v>
      </c>
      <c r="P202" s="2812">
        <f t="shared" si="44"/>
        <v>0</v>
      </c>
      <c r="Q202" s="2812">
        <f t="shared" si="44"/>
        <v>0</v>
      </c>
      <c r="R202" s="2812">
        <f t="shared" si="44"/>
        <v>0</v>
      </c>
      <c r="S202" s="2812">
        <f t="shared" si="44"/>
        <v>0</v>
      </c>
      <c r="T202" s="2812">
        <f t="shared" si="44"/>
        <v>0</v>
      </c>
      <c r="U202" s="2848">
        <f t="shared" si="44"/>
        <v>0</v>
      </c>
    </row>
    <row r="203" spans="1:24" hidden="1" x14ac:dyDescent="0.25">
      <c r="A203" s="1179"/>
      <c r="B203" s="1197" t="s">
        <v>619</v>
      </c>
      <c r="C203" s="1217"/>
      <c r="D203" s="1217" t="s">
        <v>452</v>
      </c>
      <c r="E203" s="1217" t="s">
        <v>539</v>
      </c>
      <c r="F203" s="1217" t="s">
        <v>213</v>
      </c>
      <c r="G203" s="1662"/>
      <c r="H203" s="2848">
        <f>H205</f>
        <v>0</v>
      </c>
      <c r="I203" s="2849">
        <f>I205</f>
        <v>0</v>
      </c>
      <c r="J203" s="2865">
        <f>J205</f>
        <v>0</v>
      </c>
      <c r="K203" s="2812"/>
      <c r="L203" s="2812"/>
      <c r="M203" s="2812"/>
      <c r="N203" s="2851">
        <f>N205</f>
        <v>0</v>
      </c>
      <c r="O203" s="2812"/>
      <c r="P203" s="2812"/>
      <c r="Q203" s="2812"/>
      <c r="R203" s="2812"/>
      <c r="S203" s="2812"/>
      <c r="T203" s="2812"/>
      <c r="U203" s="2848">
        <f>U205</f>
        <v>0</v>
      </c>
    </row>
    <row r="204" spans="1:24" hidden="1" x14ac:dyDescent="0.25">
      <c r="A204" s="1179"/>
      <c r="B204" s="753" t="s">
        <v>948</v>
      </c>
      <c r="C204" s="1217"/>
      <c r="D204" s="1217" t="s">
        <v>452</v>
      </c>
      <c r="E204" s="1217" t="s">
        <v>539</v>
      </c>
      <c r="F204" s="1217" t="s">
        <v>213</v>
      </c>
      <c r="G204" s="1662" t="s">
        <v>955</v>
      </c>
      <c r="H204" s="2848">
        <f t="shared" ref="H204:U204" si="45">H205</f>
        <v>0</v>
      </c>
      <c r="I204" s="2849">
        <f t="shared" si="45"/>
        <v>0</v>
      </c>
      <c r="J204" s="2866">
        <f t="shared" si="45"/>
        <v>0</v>
      </c>
      <c r="K204" s="2812">
        <f t="shared" si="45"/>
        <v>0</v>
      </c>
      <c r="L204" s="2812">
        <f t="shared" si="45"/>
        <v>0</v>
      </c>
      <c r="M204" s="2812">
        <f t="shared" si="45"/>
        <v>0</v>
      </c>
      <c r="N204" s="2851">
        <f t="shared" si="45"/>
        <v>0</v>
      </c>
      <c r="O204" s="2812">
        <f t="shared" si="45"/>
        <v>0</v>
      </c>
      <c r="P204" s="2812">
        <f t="shared" si="45"/>
        <v>0</v>
      </c>
      <c r="Q204" s="2812">
        <f t="shared" si="45"/>
        <v>0</v>
      </c>
      <c r="R204" s="2812">
        <f t="shared" si="45"/>
        <v>0</v>
      </c>
      <c r="S204" s="2812">
        <f t="shared" si="45"/>
        <v>0</v>
      </c>
      <c r="T204" s="2812">
        <f t="shared" si="45"/>
        <v>0</v>
      </c>
      <c r="U204" s="2848">
        <f t="shared" si="45"/>
        <v>0</v>
      </c>
    </row>
    <row r="205" spans="1:24" ht="21" hidden="1" x14ac:dyDescent="0.25">
      <c r="A205" s="1179"/>
      <c r="B205" s="1182" t="s">
        <v>454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1</v>
      </c>
      <c r="H205" s="2848">
        <v>0</v>
      </c>
      <c r="I205" s="2849"/>
      <c r="J205" s="2850"/>
      <c r="K205" s="2812"/>
      <c r="L205" s="2812"/>
      <c r="M205" s="2812"/>
      <c r="N205" s="2851">
        <v>0</v>
      </c>
      <c r="O205" s="2812"/>
      <c r="P205" s="2812"/>
      <c r="Q205" s="2812"/>
      <c r="R205" s="2812"/>
      <c r="S205" s="2812"/>
      <c r="T205" s="2812"/>
      <c r="U205" s="2848">
        <v>0</v>
      </c>
      <c r="V205" s="237">
        <f>H187-V209-V217-V220</f>
        <v>27649.82691</v>
      </c>
      <c r="W205" s="237"/>
      <c r="X205" s="237"/>
    </row>
    <row r="206" spans="1:24" ht="26" x14ac:dyDescent="0.25">
      <c r="A206" s="1179"/>
      <c r="B206" s="1093" t="s">
        <v>1298</v>
      </c>
      <c r="C206" s="1217"/>
      <c r="D206" s="1217" t="s">
        <v>452</v>
      </c>
      <c r="E206" s="1217" t="s">
        <v>539</v>
      </c>
      <c r="F206" s="1204" t="s">
        <v>1295</v>
      </c>
      <c r="G206" s="1662"/>
      <c r="H206" s="2848">
        <f>H207</f>
        <v>27642.536039999999</v>
      </c>
      <c r="I206" s="2849"/>
      <c r="J206" s="2850"/>
      <c r="K206" s="2812"/>
      <c r="L206" s="2812"/>
      <c r="M206" s="2812"/>
      <c r="N206" s="2851">
        <f t="shared" ref="N206:U206" si="46">N207</f>
        <v>0</v>
      </c>
      <c r="O206" s="2812">
        <f t="shared" si="46"/>
        <v>0</v>
      </c>
      <c r="P206" s="2812">
        <f t="shared" si="46"/>
        <v>0</v>
      </c>
      <c r="Q206" s="2812">
        <f t="shared" si="46"/>
        <v>0</v>
      </c>
      <c r="R206" s="2812">
        <f t="shared" si="46"/>
        <v>0</v>
      </c>
      <c r="S206" s="2812">
        <f t="shared" si="46"/>
        <v>0</v>
      </c>
      <c r="T206" s="2812">
        <f t="shared" si="46"/>
        <v>0</v>
      </c>
      <c r="U206" s="2848">
        <f t="shared" si="46"/>
        <v>0</v>
      </c>
      <c r="V206" s="237"/>
      <c r="W206" s="237"/>
      <c r="X206" s="237"/>
    </row>
    <row r="207" spans="1:24" ht="21" x14ac:dyDescent="0.25">
      <c r="A207" s="1179"/>
      <c r="B207" s="1197" t="s">
        <v>1253</v>
      </c>
      <c r="C207" s="1217"/>
      <c r="D207" s="1217" t="s">
        <v>452</v>
      </c>
      <c r="E207" s="1217" t="s">
        <v>539</v>
      </c>
      <c r="F207" s="1204" t="s">
        <v>1294</v>
      </c>
      <c r="G207" s="1662"/>
      <c r="H207" s="2848">
        <f>H209</f>
        <v>27642.536039999999</v>
      </c>
      <c r="I207" s="2849">
        <f>I209</f>
        <v>0</v>
      </c>
      <c r="J207" s="2850">
        <f>J209</f>
        <v>0</v>
      </c>
      <c r="K207" s="2812"/>
      <c r="L207" s="2812"/>
      <c r="M207" s="2812"/>
      <c r="N207" s="2851">
        <f>N209</f>
        <v>0</v>
      </c>
      <c r="O207" s="2812"/>
      <c r="P207" s="2812"/>
      <c r="Q207" s="2812"/>
      <c r="R207" s="2812"/>
      <c r="S207" s="2812"/>
      <c r="T207" s="2812"/>
      <c r="U207" s="2848">
        <f>U209</f>
        <v>0</v>
      </c>
    </row>
    <row r="208" spans="1:24" x14ac:dyDescent="0.25">
      <c r="A208" s="1179"/>
      <c r="B208" s="753" t="s">
        <v>948</v>
      </c>
      <c r="C208" s="1217"/>
      <c r="D208" s="1217" t="s">
        <v>452</v>
      </c>
      <c r="E208" s="1217" t="s">
        <v>539</v>
      </c>
      <c r="F208" s="1204" t="s">
        <v>1294</v>
      </c>
      <c r="G208" s="1662" t="s">
        <v>955</v>
      </c>
      <c r="H208" s="2848">
        <f t="shared" ref="H208:U208" si="47">H209</f>
        <v>27642.536039999999</v>
      </c>
      <c r="I208" s="2849">
        <f t="shared" si="47"/>
        <v>0</v>
      </c>
      <c r="J208" s="2850">
        <f t="shared" si="47"/>
        <v>0</v>
      </c>
      <c r="K208" s="2812">
        <f t="shared" si="47"/>
        <v>0</v>
      </c>
      <c r="L208" s="2812">
        <f t="shared" si="47"/>
        <v>0</v>
      </c>
      <c r="M208" s="2812">
        <f t="shared" si="47"/>
        <v>0</v>
      </c>
      <c r="N208" s="2851">
        <f t="shared" si="47"/>
        <v>0</v>
      </c>
      <c r="O208" s="2812">
        <f t="shared" si="47"/>
        <v>0</v>
      </c>
      <c r="P208" s="2812">
        <f t="shared" si="47"/>
        <v>0</v>
      </c>
      <c r="Q208" s="2812">
        <f t="shared" si="47"/>
        <v>0</v>
      </c>
      <c r="R208" s="2812">
        <f t="shared" si="47"/>
        <v>0</v>
      </c>
      <c r="S208" s="2812">
        <f t="shared" si="47"/>
        <v>0</v>
      </c>
      <c r="T208" s="2812">
        <f t="shared" si="47"/>
        <v>0</v>
      </c>
      <c r="U208" s="2848">
        <f t="shared" si="47"/>
        <v>0</v>
      </c>
    </row>
    <row r="209" spans="1:28" ht="40.5" customHeight="1" x14ac:dyDescent="0.25">
      <c r="A209" s="1179"/>
      <c r="B209" s="1182" t="s">
        <v>454</v>
      </c>
      <c r="C209" s="1217"/>
      <c r="D209" s="1217" t="s">
        <v>452</v>
      </c>
      <c r="E209" s="1217" t="s">
        <v>539</v>
      </c>
      <c r="F209" s="1204" t="s">
        <v>1294</v>
      </c>
      <c r="G209" s="1662" t="s">
        <v>1</v>
      </c>
      <c r="H209" s="2848">
        <f>24878.28243+1815.95361+948.3</f>
        <v>27642.536039999999</v>
      </c>
      <c r="I209" s="2849"/>
      <c r="J209" s="2850"/>
      <c r="K209" s="2812"/>
      <c r="L209" s="2812"/>
      <c r="M209" s="2812"/>
      <c r="N209" s="2851">
        <v>0</v>
      </c>
      <c r="O209" s="2812"/>
      <c r="P209" s="2812"/>
      <c r="Q209" s="2812"/>
      <c r="R209" s="2812"/>
      <c r="S209" s="2812"/>
      <c r="T209" s="2812"/>
      <c r="U209" s="2848">
        <v>0</v>
      </c>
      <c r="V209" s="1">
        <v>1695.0139999999999</v>
      </c>
      <c r="W209" s="1">
        <v>1726.1220000000001</v>
      </c>
      <c r="X209" s="1">
        <v>1726.1220000000001</v>
      </c>
      <c r="AA209" s="1">
        <v>-5.7</v>
      </c>
      <c r="AB209" s="1">
        <v>383.2</v>
      </c>
    </row>
    <row r="210" spans="1:28" ht="13" hidden="1" x14ac:dyDescent="0.3">
      <c r="A210" s="1179"/>
      <c r="B210" s="2056" t="s">
        <v>1263</v>
      </c>
      <c r="C210" s="1217"/>
      <c r="D210" s="1217"/>
      <c r="E210" s="1217"/>
      <c r="F210" s="1204" t="s">
        <v>1302</v>
      </c>
      <c r="G210" s="1662"/>
      <c r="H210" s="2848">
        <f>H214+H220</f>
        <v>2750</v>
      </c>
      <c r="I210" s="2849"/>
      <c r="J210" s="2850"/>
      <c r="K210" s="2812"/>
      <c r="L210" s="2812"/>
      <c r="M210" s="2812"/>
      <c r="N210" s="2851">
        <f t="shared" ref="N210:U210" si="48">N214+N220</f>
        <v>1158.3</v>
      </c>
      <c r="O210" s="2812">
        <f t="shared" si="48"/>
        <v>0</v>
      </c>
      <c r="P210" s="2812">
        <f t="shared" si="48"/>
        <v>0</v>
      </c>
      <c r="Q210" s="2812">
        <f t="shared" si="48"/>
        <v>0</v>
      </c>
      <c r="R210" s="2812">
        <f t="shared" si="48"/>
        <v>0</v>
      </c>
      <c r="S210" s="2812">
        <f t="shared" si="48"/>
        <v>0</v>
      </c>
      <c r="T210" s="2812">
        <f t="shared" si="48"/>
        <v>0</v>
      </c>
      <c r="U210" s="2848">
        <f t="shared" si="48"/>
        <v>1158.3</v>
      </c>
    </row>
    <row r="211" spans="1:28" ht="52" hidden="1" x14ac:dyDescent="0.3">
      <c r="A211" s="1179"/>
      <c r="B211" s="336" t="s">
        <v>1301</v>
      </c>
      <c r="C211" s="1217"/>
      <c r="D211" s="1217" t="s">
        <v>452</v>
      </c>
      <c r="E211" s="1217" t="s">
        <v>539</v>
      </c>
      <c r="F211" s="1204" t="s">
        <v>1300</v>
      </c>
      <c r="G211" s="1662"/>
      <c r="H211" s="2848">
        <f>H212</f>
        <v>2000</v>
      </c>
      <c r="I211" s="2849"/>
      <c r="J211" s="2850"/>
      <c r="K211" s="2812"/>
      <c r="L211" s="2812"/>
      <c r="M211" s="2812"/>
      <c r="N211" s="2851">
        <f>N212</f>
        <v>948.3</v>
      </c>
      <c r="O211" s="2812"/>
      <c r="P211" s="2812"/>
      <c r="Q211" s="2812"/>
      <c r="R211" s="2812"/>
      <c r="S211" s="2812"/>
      <c r="T211" s="2812"/>
      <c r="U211" s="2848">
        <f>U212</f>
        <v>948.3</v>
      </c>
    </row>
    <row r="212" spans="1:28" ht="13" hidden="1" x14ac:dyDescent="0.25">
      <c r="A212" s="1179"/>
      <c r="B212" s="1098" t="s">
        <v>201</v>
      </c>
      <c r="C212" s="1217"/>
      <c r="D212" s="1217" t="s">
        <v>452</v>
      </c>
      <c r="E212" s="1217" t="s">
        <v>539</v>
      </c>
      <c r="F212" s="1204" t="s">
        <v>1299</v>
      </c>
      <c r="G212" s="1662"/>
      <c r="H212" s="2848">
        <f>H213</f>
        <v>2000</v>
      </c>
      <c r="I212" s="2849">
        <f>I214</f>
        <v>0</v>
      </c>
      <c r="J212" s="2850">
        <f>J214</f>
        <v>0</v>
      </c>
      <c r="K212" s="2812"/>
      <c r="L212" s="2812"/>
      <c r="M212" s="2812"/>
      <c r="N212" s="2851">
        <f>N213</f>
        <v>948.3</v>
      </c>
      <c r="O212" s="2812"/>
      <c r="P212" s="2812"/>
      <c r="Q212" s="2812"/>
      <c r="R212" s="2812"/>
      <c r="S212" s="2812"/>
      <c r="T212" s="2812"/>
      <c r="U212" s="2848">
        <f>U214</f>
        <v>948.3</v>
      </c>
    </row>
    <row r="213" spans="1:28" hidden="1" x14ac:dyDescent="0.25">
      <c r="A213" s="1179"/>
      <c r="B213" s="753" t="s">
        <v>948</v>
      </c>
      <c r="C213" s="1217"/>
      <c r="D213" s="1217" t="s">
        <v>452</v>
      </c>
      <c r="E213" s="1217" t="s">
        <v>539</v>
      </c>
      <c r="F213" s="1204" t="s">
        <v>1299</v>
      </c>
      <c r="G213" s="1662" t="s">
        <v>955</v>
      </c>
      <c r="H213" s="2848">
        <f>H214</f>
        <v>2000</v>
      </c>
      <c r="I213" s="2849"/>
      <c r="J213" s="2850"/>
      <c r="K213" s="2812"/>
      <c r="L213" s="2812"/>
      <c r="M213" s="2812"/>
      <c r="N213" s="2851">
        <f>N214</f>
        <v>948.3</v>
      </c>
      <c r="O213" s="2812"/>
      <c r="P213" s="2812"/>
      <c r="Q213" s="2812"/>
      <c r="R213" s="2812"/>
      <c r="S213" s="2812"/>
      <c r="T213" s="2812"/>
      <c r="U213" s="2848">
        <f>U214</f>
        <v>948.3</v>
      </c>
    </row>
    <row r="214" spans="1:28" ht="21" hidden="1" x14ac:dyDescent="0.25">
      <c r="A214" s="1179"/>
      <c r="B214" s="1182" t="s">
        <v>454</v>
      </c>
      <c r="C214" s="1217"/>
      <c r="D214" s="1217" t="s">
        <v>452</v>
      </c>
      <c r="E214" s="1217" t="s">
        <v>539</v>
      </c>
      <c r="F214" s="1204" t="s">
        <v>1299</v>
      </c>
      <c r="G214" s="1662" t="s">
        <v>1</v>
      </c>
      <c r="H214" s="2848">
        <v>2000</v>
      </c>
      <c r="I214" s="2849"/>
      <c r="J214" s="2850"/>
      <c r="K214" s="2812"/>
      <c r="L214" s="2812"/>
      <c r="M214" s="2812"/>
      <c r="N214" s="2851">
        <v>948.3</v>
      </c>
      <c r="O214" s="2812"/>
      <c r="P214" s="2812"/>
      <c r="Q214" s="2812"/>
      <c r="R214" s="2812"/>
      <c r="S214" s="2812"/>
      <c r="T214" s="2812"/>
      <c r="U214" s="2848">
        <v>948.3</v>
      </c>
      <c r="AA214" s="1">
        <v>5.7</v>
      </c>
      <c r="AB214" s="1">
        <v>383.2</v>
      </c>
    </row>
    <row r="215" spans="1:28" ht="26" hidden="1" x14ac:dyDescent="0.25">
      <c r="A215" s="1179"/>
      <c r="B215" s="1093" t="s">
        <v>1305</v>
      </c>
      <c r="C215" s="1217"/>
      <c r="D215" s="1217" t="s">
        <v>452</v>
      </c>
      <c r="E215" s="1217" t="s">
        <v>539</v>
      </c>
      <c r="F215" s="1217" t="s">
        <v>1304</v>
      </c>
      <c r="G215" s="1662"/>
      <c r="H215" s="2848">
        <f>H216+H218</f>
        <v>750</v>
      </c>
      <c r="I215" s="2849">
        <f>I216+I218</f>
        <v>0</v>
      </c>
      <c r="J215" s="2850">
        <f>J216+J218</f>
        <v>0</v>
      </c>
      <c r="K215" s="2812"/>
      <c r="L215" s="2812"/>
      <c r="M215" s="2812"/>
      <c r="N215" s="2851">
        <f>N216+N218</f>
        <v>210</v>
      </c>
      <c r="O215" s="2812"/>
      <c r="P215" s="2812"/>
      <c r="Q215" s="2812"/>
      <c r="R215" s="2812"/>
      <c r="S215" s="2812"/>
      <c r="T215" s="2812"/>
      <c r="U215" s="2848">
        <f>U216+U218</f>
        <v>210</v>
      </c>
    </row>
    <row r="216" spans="1:28" hidden="1" x14ac:dyDescent="0.25">
      <c r="A216" s="1179"/>
      <c r="B216" s="1197" t="s">
        <v>619</v>
      </c>
      <c r="C216" s="1217"/>
      <c r="D216" s="1217" t="s">
        <v>452</v>
      </c>
      <c r="E216" s="1217" t="s">
        <v>539</v>
      </c>
      <c r="F216" s="1217" t="s">
        <v>200</v>
      </c>
      <c r="G216" s="1662"/>
      <c r="H216" s="2848">
        <f>H217</f>
        <v>0</v>
      </c>
      <c r="I216" s="2849">
        <f>I217</f>
        <v>0</v>
      </c>
      <c r="J216" s="2850">
        <f>J217</f>
        <v>0</v>
      </c>
      <c r="K216" s="2812"/>
      <c r="L216" s="2812"/>
      <c r="M216" s="2812"/>
      <c r="N216" s="2851">
        <f>N217</f>
        <v>0</v>
      </c>
      <c r="O216" s="2812"/>
      <c r="P216" s="2812"/>
      <c r="Q216" s="2812"/>
      <c r="R216" s="2812"/>
      <c r="S216" s="2812"/>
      <c r="T216" s="2812"/>
      <c r="U216" s="2848">
        <f>U217</f>
        <v>0</v>
      </c>
    </row>
    <row r="217" spans="1:28" ht="21" hidden="1" x14ac:dyDescent="0.25">
      <c r="A217" s="1179"/>
      <c r="B217" s="1182" t="s">
        <v>454</v>
      </c>
      <c r="C217" s="1217"/>
      <c r="D217" s="1217" t="s">
        <v>452</v>
      </c>
      <c r="E217" s="1217" t="s">
        <v>539</v>
      </c>
      <c r="F217" s="1217" t="s">
        <v>200</v>
      </c>
      <c r="G217" s="1662" t="s">
        <v>1</v>
      </c>
      <c r="H217" s="2848"/>
      <c r="I217" s="2849"/>
      <c r="J217" s="2850"/>
      <c r="K217" s="2812"/>
      <c r="L217" s="2812"/>
      <c r="M217" s="2812"/>
      <c r="N217" s="2851"/>
      <c r="O217" s="2812"/>
      <c r="P217" s="2812"/>
      <c r="Q217" s="2812"/>
      <c r="R217" s="2812"/>
      <c r="S217" s="2812"/>
      <c r="T217" s="2812"/>
      <c r="U217" s="2848"/>
      <c r="V217" s="1">
        <v>750</v>
      </c>
    </row>
    <row r="218" spans="1:28" ht="21" hidden="1" x14ac:dyDescent="0.25">
      <c r="A218" s="1179"/>
      <c r="B218" s="1197" t="s">
        <v>199</v>
      </c>
      <c r="C218" s="1217"/>
      <c r="D218" s="1217" t="s">
        <v>452</v>
      </c>
      <c r="E218" s="1217" t="s">
        <v>539</v>
      </c>
      <c r="F218" s="1204" t="s">
        <v>1303</v>
      </c>
      <c r="G218" s="1662"/>
      <c r="H218" s="2848">
        <f>H220</f>
        <v>750</v>
      </c>
      <c r="I218" s="2849">
        <f>I220</f>
        <v>0</v>
      </c>
      <c r="J218" s="2850">
        <f>J220</f>
        <v>0</v>
      </c>
      <c r="K218" s="2812"/>
      <c r="L218" s="2812"/>
      <c r="M218" s="2812"/>
      <c r="N218" s="2851">
        <f>N220</f>
        <v>210</v>
      </c>
      <c r="O218" s="2812"/>
      <c r="P218" s="2812"/>
      <c r="Q218" s="2812"/>
      <c r="R218" s="2812"/>
      <c r="S218" s="2812"/>
      <c r="T218" s="2812"/>
      <c r="U218" s="2848">
        <f>U220</f>
        <v>210</v>
      </c>
    </row>
    <row r="219" spans="1:28" hidden="1" x14ac:dyDescent="0.25">
      <c r="A219" s="1179"/>
      <c r="B219" s="753" t="s">
        <v>948</v>
      </c>
      <c r="C219" s="1217"/>
      <c r="D219" s="1217" t="s">
        <v>452</v>
      </c>
      <c r="E219" s="1217" t="s">
        <v>539</v>
      </c>
      <c r="F219" s="1204" t="s">
        <v>1303</v>
      </c>
      <c r="G219" s="1662" t="s">
        <v>955</v>
      </c>
      <c r="H219" s="2848">
        <f t="shared" ref="H219:U219" si="49">H220</f>
        <v>750</v>
      </c>
      <c r="I219" s="2849">
        <f t="shared" si="49"/>
        <v>0</v>
      </c>
      <c r="J219" s="2850">
        <f t="shared" si="49"/>
        <v>0</v>
      </c>
      <c r="K219" s="2812">
        <f t="shared" si="49"/>
        <v>0</v>
      </c>
      <c r="L219" s="2812">
        <f t="shared" si="49"/>
        <v>0</v>
      </c>
      <c r="M219" s="2812">
        <f t="shared" si="49"/>
        <v>0</v>
      </c>
      <c r="N219" s="2851">
        <f t="shared" si="49"/>
        <v>210</v>
      </c>
      <c r="O219" s="2812">
        <f t="shared" si="49"/>
        <v>0</v>
      </c>
      <c r="P219" s="2812">
        <f t="shared" si="49"/>
        <v>0</v>
      </c>
      <c r="Q219" s="2812">
        <f t="shared" si="49"/>
        <v>0</v>
      </c>
      <c r="R219" s="2812">
        <f t="shared" si="49"/>
        <v>0</v>
      </c>
      <c r="S219" s="2812">
        <f t="shared" si="49"/>
        <v>0</v>
      </c>
      <c r="T219" s="2812">
        <f t="shared" si="49"/>
        <v>0</v>
      </c>
      <c r="U219" s="2848">
        <f t="shared" si="49"/>
        <v>210</v>
      </c>
    </row>
    <row r="220" spans="1:28" ht="21" hidden="1" x14ac:dyDescent="0.25">
      <c r="A220" s="1179"/>
      <c r="B220" s="1182" t="s">
        <v>454</v>
      </c>
      <c r="C220" s="1217"/>
      <c r="D220" s="1217" t="s">
        <v>452</v>
      </c>
      <c r="E220" s="1217" t="s">
        <v>539</v>
      </c>
      <c r="F220" s="1204" t="s">
        <v>1303</v>
      </c>
      <c r="G220" s="1662" t="s">
        <v>1</v>
      </c>
      <c r="H220" s="2848">
        <v>750</v>
      </c>
      <c r="I220" s="2849"/>
      <c r="J220" s="2850"/>
      <c r="K220" s="2812"/>
      <c r="L220" s="2812"/>
      <c r="M220" s="2812"/>
      <c r="N220" s="2851">
        <f>1210-1000</f>
        <v>210</v>
      </c>
      <c r="O220" s="2812"/>
      <c r="P220" s="2812"/>
      <c r="Q220" s="2812"/>
      <c r="R220" s="2812"/>
      <c r="S220" s="2812"/>
      <c r="T220" s="2812"/>
      <c r="U220" s="2848">
        <v>210</v>
      </c>
      <c r="V220" s="1">
        <v>440</v>
      </c>
      <c r="W220" s="1">
        <v>460</v>
      </c>
      <c r="X220" s="1">
        <v>520</v>
      </c>
    </row>
    <row r="221" spans="1:28" ht="31.5" hidden="1" x14ac:dyDescent="0.25">
      <c r="A221" s="842"/>
      <c r="B221" s="1230" t="s">
        <v>557</v>
      </c>
      <c r="C221" s="408"/>
      <c r="D221" s="408" t="s">
        <v>452</v>
      </c>
      <c r="E221" s="408" t="s">
        <v>539</v>
      </c>
      <c r="F221" s="408" t="s">
        <v>556</v>
      </c>
      <c r="G221" s="1661"/>
      <c r="H221" s="2852">
        <f>H222</f>
        <v>0</v>
      </c>
      <c r="I221" s="2853">
        <f>I222</f>
        <v>0</v>
      </c>
      <c r="J221" s="2854">
        <f>J222</f>
        <v>0</v>
      </c>
      <c r="K221" s="2812"/>
      <c r="L221" s="2812"/>
      <c r="M221" s="2812"/>
      <c r="N221" s="2856">
        <f>N222</f>
        <v>0</v>
      </c>
      <c r="O221" s="2812"/>
      <c r="P221" s="2812"/>
      <c r="Q221" s="2812"/>
      <c r="R221" s="2812"/>
      <c r="S221" s="2812"/>
      <c r="T221" s="2812"/>
      <c r="U221" s="2852">
        <f>U222</f>
        <v>0</v>
      </c>
    </row>
    <row r="222" spans="1:28" ht="21" hidden="1" x14ac:dyDescent="0.25">
      <c r="A222" s="1179"/>
      <c r="B222" s="1219" t="s">
        <v>555</v>
      </c>
      <c r="C222" s="1217"/>
      <c r="D222" s="1217" t="s">
        <v>452</v>
      </c>
      <c r="E222" s="1217" t="s">
        <v>539</v>
      </c>
      <c r="F222" s="1217" t="s">
        <v>554</v>
      </c>
      <c r="G222" s="1664"/>
      <c r="H222" s="2848">
        <f>H223+H226</f>
        <v>0</v>
      </c>
      <c r="I222" s="2849">
        <f>I223+I226</f>
        <v>0</v>
      </c>
      <c r="J222" s="2850">
        <f>J223+J226</f>
        <v>0</v>
      </c>
      <c r="K222" s="2812"/>
      <c r="L222" s="2812"/>
      <c r="M222" s="2812"/>
      <c r="N222" s="2851">
        <f>N223+N226</f>
        <v>0</v>
      </c>
      <c r="O222" s="2812"/>
      <c r="P222" s="2812"/>
      <c r="Q222" s="2812"/>
      <c r="R222" s="2812"/>
      <c r="S222" s="2812"/>
      <c r="T222" s="2812"/>
      <c r="U222" s="2848">
        <f>U223+U226</f>
        <v>0</v>
      </c>
    </row>
    <row r="223" spans="1:28" ht="31.5" hidden="1" x14ac:dyDescent="0.25">
      <c r="A223" s="1179"/>
      <c r="B223" s="1219" t="s">
        <v>553</v>
      </c>
      <c r="C223" s="1217"/>
      <c r="D223" s="1217" t="s">
        <v>452</v>
      </c>
      <c r="E223" s="1217" t="s">
        <v>539</v>
      </c>
      <c r="F223" s="1217" t="s">
        <v>552</v>
      </c>
      <c r="G223" s="1664"/>
      <c r="H223" s="2848">
        <f t="shared" ref="H223:J224" si="50">H224</f>
        <v>0</v>
      </c>
      <c r="I223" s="2849">
        <f t="shared" si="50"/>
        <v>0</v>
      </c>
      <c r="J223" s="2850">
        <f t="shared" si="50"/>
        <v>0</v>
      </c>
      <c r="K223" s="2812"/>
      <c r="L223" s="2812"/>
      <c r="M223" s="2812"/>
      <c r="N223" s="2851">
        <f t="shared" ref="N223:N224" si="51">N224</f>
        <v>0</v>
      </c>
      <c r="O223" s="2812"/>
      <c r="P223" s="2812"/>
      <c r="Q223" s="2812"/>
      <c r="R223" s="2812"/>
      <c r="S223" s="2812"/>
      <c r="T223" s="2812"/>
      <c r="U223" s="2848">
        <f t="shared" ref="U223:U224" si="52">U224</f>
        <v>0</v>
      </c>
    </row>
    <row r="224" spans="1:28" ht="31.5" hidden="1" x14ac:dyDescent="0.25">
      <c r="A224" s="1179"/>
      <c r="B224" s="753" t="s">
        <v>551</v>
      </c>
      <c r="C224" s="1217"/>
      <c r="D224" s="1217" t="s">
        <v>452</v>
      </c>
      <c r="E224" s="1217" t="s">
        <v>539</v>
      </c>
      <c r="F224" s="1217" t="s">
        <v>550</v>
      </c>
      <c r="G224" s="1664"/>
      <c r="H224" s="2848">
        <f t="shared" si="50"/>
        <v>0</v>
      </c>
      <c r="I224" s="2849">
        <f t="shared" si="50"/>
        <v>0</v>
      </c>
      <c r="J224" s="2850">
        <f t="shared" si="50"/>
        <v>0</v>
      </c>
      <c r="K224" s="2812"/>
      <c r="L224" s="2812"/>
      <c r="M224" s="2812"/>
      <c r="N224" s="2851">
        <f t="shared" si="51"/>
        <v>0</v>
      </c>
      <c r="O224" s="2812"/>
      <c r="P224" s="2812"/>
      <c r="Q224" s="2812"/>
      <c r="R224" s="2812"/>
      <c r="S224" s="2812"/>
      <c r="T224" s="2812"/>
      <c r="U224" s="2848">
        <f t="shared" si="52"/>
        <v>0</v>
      </c>
    </row>
    <row r="225" spans="1:21" hidden="1" x14ac:dyDescent="0.25">
      <c r="A225" s="1179"/>
      <c r="B225" s="1182" t="s">
        <v>481</v>
      </c>
      <c r="C225" s="1217"/>
      <c r="D225" s="1217" t="s">
        <v>452</v>
      </c>
      <c r="E225" s="1217" t="s">
        <v>539</v>
      </c>
      <c r="F225" s="1217" t="s">
        <v>550</v>
      </c>
      <c r="G225" s="1662" t="s">
        <v>26</v>
      </c>
      <c r="H225" s="2848">
        <v>0</v>
      </c>
      <c r="I225" s="2849">
        <v>0</v>
      </c>
      <c r="J225" s="2850">
        <v>0</v>
      </c>
      <c r="K225" s="2812"/>
      <c r="L225" s="2812"/>
      <c r="M225" s="2812"/>
      <c r="N225" s="2851">
        <v>0</v>
      </c>
      <c r="O225" s="2812"/>
      <c r="P225" s="2812"/>
      <c r="Q225" s="2812"/>
      <c r="R225" s="2812"/>
      <c r="S225" s="2812"/>
      <c r="T225" s="2812"/>
      <c r="U225" s="2848">
        <v>0</v>
      </c>
    </row>
    <row r="226" spans="1:21" ht="42" hidden="1" x14ac:dyDescent="0.25">
      <c r="A226" s="1179"/>
      <c r="B226" s="1219" t="s">
        <v>549</v>
      </c>
      <c r="C226" s="1217"/>
      <c r="D226" s="1217" t="s">
        <v>548</v>
      </c>
      <c r="E226" s="1217" t="s">
        <v>539</v>
      </c>
      <c r="F226" s="1217" t="s">
        <v>547</v>
      </c>
      <c r="G226" s="1664"/>
      <c r="H226" s="2848">
        <f>H227+H229+H231</f>
        <v>0</v>
      </c>
      <c r="I226" s="2849">
        <f>I227+I229+I231</f>
        <v>0</v>
      </c>
      <c r="J226" s="2850">
        <f>J227+J229+J231</f>
        <v>0</v>
      </c>
      <c r="K226" s="2812"/>
      <c r="L226" s="2812"/>
      <c r="M226" s="2812"/>
      <c r="N226" s="2851">
        <f>N227+N229+N231</f>
        <v>0</v>
      </c>
      <c r="O226" s="2812"/>
      <c r="P226" s="2812"/>
      <c r="Q226" s="2812"/>
      <c r="R226" s="2812"/>
      <c r="S226" s="2812"/>
      <c r="T226" s="2812"/>
      <c r="U226" s="2848">
        <f>U227+U229+U231</f>
        <v>0</v>
      </c>
    </row>
    <row r="227" spans="1:21" ht="21" hidden="1" x14ac:dyDescent="0.25">
      <c r="A227" s="1179"/>
      <c r="B227" s="753" t="s">
        <v>546</v>
      </c>
      <c r="C227" s="1217"/>
      <c r="D227" s="1217" t="s">
        <v>452</v>
      </c>
      <c r="E227" s="1217" t="s">
        <v>539</v>
      </c>
      <c r="F227" s="1217" t="s">
        <v>545</v>
      </c>
      <c r="G227" s="1664"/>
      <c r="H227" s="2848">
        <f>H228</f>
        <v>0</v>
      </c>
      <c r="I227" s="2849">
        <f>I228</f>
        <v>0</v>
      </c>
      <c r="J227" s="2850">
        <f>J228</f>
        <v>0</v>
      </c>
      <c r="K227" s="2812"/>
      <c r="L227" s="2812"/>
      <c r="M227" s="2812"/>
      <c r="N227" s="2851">
        <f>N228</f>
        <v>0</v>
      </c>
      <c r="O227" s="2812"/>
      <c r="P227" s="2812"/>
      <c r="Q227" s="2812"/>
      <c r="R227" s="2812"/>
      <c r="S227" s="2812"/>
      <c r="T227" s="2812"/>
      <c r="U227" s="2848">
        <f>U228</f>
        <v>0</v>
      </c>
    </row>
    <row r="228" spans="1:21" ht="21" hidden="1" x14ac:dyDescent="0.25">
      <c r="A228" s="1179"/>
      <c r="B228" s="1182" t="s">
        <v>454</v>
      </c>
      <c r="C228" s="1217"/>
      <c r="D228" s="1217" t="s">
        <v>452</v>
      </c>
      <c r="E228" s="1217" t="s">
        <v>539</v>
      </c>
      <c r="F228" s="1217" t="s">
        <v>545</v>
      </c>
      <c r="G228" s="1662" t="s">
        <v>1</v>
      </c>
      <c r="H228" s="2848"/>
      <c r="I228" s="2849"/>
      <c r="J228" s="2850"/>
      <c r="K228" s="2812"/>
      <c r="L228" s="2812"/>
      <c r="M228" s="2812"/>
      <c r="N228" s="2851"/>
      <c r="O228" s="2812"/>
      <c r="P228" s="2812"/>
      <c r="Q228" s="2812"/>
      <c r="R228" s="2812"/>
      <c r="S228" s="2812"/>
      <c r="T228" s="2812"/>
      <c r="U228" s="2848"/>
    </row>
    <row r="229" spans="1:21" ht="31.5" hidden="1" x14ac:dyDescent="0.25">
      <c r="A229" s="1229"/>
      <c r="B229" s="753" t="s">
        <v>544</v>
      </c>
      <c r="C229" s="1217"/>
      <c r="D229" s="1217" t="s">
        <v>452</v>
      </c>
      <c r="E229" s="1217" t="s">
        <v>539</v>
      </c>
      <c r="F229" s="1217" t="s">
        <v>543</v>
      </c>
      <c r="G229" s="1664"/>
      <c r="H229" s="2848">
        <f>H230</f>
        <v>0</v>
      </c>
      <c r="I229" s="2849">
        <f>I230</f>
        <v>0</v>
      </c>
      <c r="J229" s="2850">
        <f>J230</f>
        <v>0</v>
      </c>
      <c r="K229" s="2812"/>
      <c r="L229" s="2812"/>
      <c r="M229" s="2812"/>
      <c r="N229" s="2851">
        <f>N230</f>
        <v>0</v>
      </c>
      <c r="O229" s="2812"/>
      <c r="P229" s="2812"/>
      <c r="Q229" s="2812"/>
      <c r="R229" s="2812"/>
      <c r="S229" s="2812"/>
      <c r="T229" s="2812"/>
      <c r="U229" s="2848">
        <f>U230</f>
        <v>0</v>
      </c>
    </row>
    <row r="230" spans="1:21" ht="21" hidden="1" x14ac:dyDescent="0.25">
      <c r="A230" s="1229"/>
      <c r="B230" s="1182" t="s">
        <v>454</v>
      </c>
      <c r="C230" s="1217"/>
      <c r="D230" s="1217" t="s">
        <v>452</v>
      </c>
      <c r="E230" s="1217" t="s">
        <v>539</v>
      </c>
      <c r="F230" s="1217" t="s">
        <v>543</v>
      </c>
      <c r="G230" s="1662" t="s">
        <v>1</v>
      </c>
      <c r="H230" s="2848"/>
      <c r="I230" s="2849"/>
      <c r="J230" s="2850"/>
      <c r="K230" s="2812"/>
      <c r="L230" s="2812"/>
      <c r="M230" s="2812"/>
      <c r="N230" s="2851"/>
      <c r="O230" s="2812"/>
      <c r="P230" s="2812"/>
      <c r="Q230" s="2812"/>
      <c r="R230" s="2812"/>
      <c r="S230" s="2812"/>
      <c r="T230" s="2812"/>
      <c r="U230" s="2848"/>
    </row>
    <row r="231" spans="1:21" ht="1.5" hidden="1" customHeight="1" x14ac:dyDescent="0.25">
      <c r="A231" s="1229"/>
      <c r="B231" s="753" t="s">
        <v>542</v>
      </c>
      <c r="C231" s="1217"/>
      <c r="D231" s="1217" t="s">
        <v>452</v>
      </c>
      <c r="E231" s="1217" t="s">
        <v>539</v>
      </c>
      <c r="F231" s="1217" t="s">
        <v>541</v>
      </c>
      <c r="G231" s="1664"/>
      <c r="H231" s="2848">
        <f>H232</f>
        <v>0</v>
      </c>
      <c r="I231" s="2849">
        <f>I232</f>
        <v>0</v>
      </c>
      <c r="J231" s="2850">
        <f>J232</f>
        <v>0</v>
      </c>
      <c r="K231" s="2812"/>
      <c r="L231" s="2812"/>
      <c r="M231" s="2812"/>
      <c r="N231" s="2851">
        <f>N232</f>
        <v>0</v>
      </c>
      <c r="O231" s="2812"/>
      <c r="P231" s="2812"/>
      <c r="Q231" s="2812"/>
      <c r="R231" s="2812"/>
      <c r="S231" s="2812"/>
      <c r="T231" s="2812"/>
      <c r="U231" s="2848">
        <f>U232</f>
        <v>0</v>
      </c>
    </row>
    <row r="232" spans="1:21" ht="20.25" hidden="1" customHeight="1" x14ac:dyDescent="0.25">
      <c r="A232" s="1229"/>
      <c r="B232" s="1182" t="s">
        <v>454</v>
      </c>
      <c r="C232" s="1217"/>
      <c r="D232" s="1217" t="s">
        <v>452</v>
      </c>
      <c r="E232" s="1217" t="s">
        <v>539</v>
      </c>
      <c r="F232" s="1217" t="s">
        <v>541</v>
      </c>
      <c r="G232" s="1662" t="s">
        <v>1</v>
      </c>
      <c r="H232" s="2848"/>
      <c r="I232" s="2849"/>
      <c r="J232" s="2850"/>
      <c r="K232" s="2812"/>
      <c r="L232" s="2812"/>
      <c r="M232" s="2812"/>
      <c r="N232" s="2851"/>
      <c r="O232" s="2812"/>
      <c r="P232" s="2812"/>
      <c r="Q232" s="2812"/>
      <c r="R232" s="2812"/>
      <c r="S232" s="2812"/>
      <c r="T232" s="2812"/>
      <c r="U232" s="2848"/>
    </row>
    <row r="233" spans="1:21" ht="18.75" hidden="1" customHeight="1" x14ac:dyDescent="0.25">
      <c r="A233" s="1211"/>
      <c r="B233" s="753" t="s">
        <v>499</v>
      </c>
      <c r="C233" s="1177"/>
      <c r="D233" s="409" t="s">
        <v>452</v>
      </c>
      <c r="E233" s="409" t="s">
        <v>539</v>
      </c>
      <c r="F233" s="409" t="s">
        <v>89</v>
      </c>
      <c r="G233" s="1662"/>
      <c r="H233" s="2848">
        <f t="shared" ref="H233:J236" si="53">H234</f>
        <v>0</v>
      </c>
      <c r="I233" s="2853">
        <f t="shared" si="53"/>
        <v>0</v>
      </c>
      <c r="J233" s="2854">
        <f t="shared" si="53"/>
        <v>0</v>
      </c>
      <c r="K233" s="2812"/>
      <c r="L233" s="2812"/>
      <c r="M233" s="2812"/>
      <c r="N233" s="2851">
        <f t="shared" ref="N233:N236" si="54">N234</f>
        <v>0</v>
      </c>
      <c r="O233" s="2812"/>
      <c r="P233" s="2812"/>
      <c r="Q233" s="2812"/>
      <c r="R233" s="2812"/>
      <c r="S233" s="2812"/>
      <c r="T233" s="2812"/>
      <c r="U233" s="2848">
        <f t="shared" ref="U233:U236" si="55">U234</f>
        <v>0</v>
      </c>
    </row>
    <row r="234" spans="1:21" ht="21" hidden="1" customHeight="1" x14ac:dyDescent="0.25">
      <c r="A234" s="842"/>
      <c r="B234" s="753" t="s">
        <v>109</v>
      </c>
      <c r="C234" s="1177"/>
      <c r="D234" s="409" t="s">
        <v>452</v>
      </c>
      <c r="E234" s="409" t="s">
        <v>539</v>
      </c>
      <c r="F234" s="409" t="s">
        <v>84</v>
      </c>
      <c r="G234" s="1662"/>
      <c r="H234" s="2848">
        <f t="shared" si="53"/>
        <v>0</v>
      </c>
      <c r="I234" s="2853">
        <f t="shared" si="53"/>
        <v>0</v>
      </c>
      <c r="J234" s="2854">
        <f t="shared" si="53"/>
        <v>0</v>
      </c>
      <c r="K234" s="2812"/>
      <c r="L234" s="2812"/>
      <c r="M234" s="2812"/>
      <c r="N234" s="2851">
        <f t="shared" si="54"/>
        <v>0</v>
      </c>
      <c r="O234" s="2812"/>
      <c r="P234" s="2812"/>
      <c r="Q234" s="2812"/>
      <c r="R234" s="2812"/>
      <c r="S234" s="2812"/>
      <c r="T234" s="2812"/>
      <c r="U234" s="2848">
        <f t="shared" si="55"/>
        <v>0</v>
      </c>
    </row>
    <row r="235" spans="1:21" ht="23.25" hidden="1" customHeight="1" x14ac:dyDescent="0.25">
      <c r="A235" s="842"/>
      <c r="B235" s="753" t="s">
        <v>109</v>
      </c>
      <c r="C235" s="1177"/>
      <c r="D235" s="409" t="s">
        <v>452</v>
      </c>
      <c r="E235" s="409" t="s">
        <v>539</v>
      </c>
      <c r="F235" s="409" t="s">
        <v>82</v>
      </c>
      <c r="G235" s="1662"/>
      <c r="H235" s="2848">
        <f>H236</f>
        <v>0</v>
      </c>
      <c r="I235" s="2853">
        <f t="shared" si="53"/>
        <v>0</v>
      </c>
      <c r="J235" s="2854">
        <f t="shared" si="53"/>
        <v>0</v>
      </c>
      <c r="K235" s="2812">
        <v>388.9</v>
      </c>
      <c r="L235" s="2812"/>
      <c r="M235" s="2812"/>
      <c r="N235" s="2851">
        <f>N236</f>
        <v>0</v>
      </c>
      <c r="O235" s="2812"/>
      <c r="P235" s="2812"/>
      <c r="Q235" s="2812"/>
      <c r="R235" s="2812"/>
      <c r="S235" s="2812"/>
      <c r="T235" s="2812"/>
      <c r="U235" s="2848">
        <f>U236</f>
        <v>0</v>
      </c>
    </row>
    <row r="236" spans="1:21" ht="20.25" hidden="1" customHeight="1" x14ac:dyDescent="0.25">
      <c r="A236" s="1229"/>
      <c r="B236" s="1481" t="s">
        <v>967</v>
      </c>
      <c r="C236" s="409"/>
      <c r="D236" s="409" t="s">
        <v>452</v>
      </c>
      <c r="E236" s="409" t="s">
        <v>539</v>
      </c>
      <c r="F236" s="1231" t="s">
        <v>965</v>
      </c>
      <c r="G236" s="1662"/>
      <c r="H236" s="2848">
        <f t="shared" si="53"/>
        <v>0</v>
      </c>
      <c r="I236" s="2849">
        <f t="shared" si="53"/>
        <v>0</v>
      </c>
      <c r="J236" s="2850">
        <f t="shared" si="53"/>
        <v>0</v>
      </c>
      <c r="K236" s="2812"/>
      <c r="L236" s="2812"/>
      <c r="M236" s="2812"/>
      <c r="N236" s="2851">
        <f t="shared" si="54"/>
        <v>0</v>
      </c>
      <c r="O236" s="2812"/>
      <c r="P236" s="2812"/>
      <c r="Q236" s="2812"/>
      <c r="R236" s="2812"/>
      <c r="S236" s="2812"/>
      <c r="T236" s="2812"/>
      <c r="U236" s="2848">
        <f t="shared" si="55"/>
        <v>0</v>
      </c>
    </row>
    <row r="237" spans="1:21" ht="46.5" hidden="1" customHeight="1" x14ac:dyDescent="0.25">
      <c r="A237" s="1229"/>
      <c r="B237" s="1182" t="s">
        <v>454</v>
      </c>
      <c r="C237" s="1217"/>
      <c r="D237" s="1217" t="s">
        <v>452</v>
      </c>
      <c r="E237" s="1217" t="s">
        <v>539</v>
      </c>
      <c r="F237" s="1231" t="s">
        <v>965</v>
      </c>
      <c r="G237" s="1662" t="s">
        <v>1</v>
      </c>
      <c r="H237" s="2848"/>
      <c r="I237" s="2849"/>
      <c r="J237" s="2850"/>
      <c r="K237" s="2812">
        <v>388.9</v>
      </c>
      <c r="L237" s="2812"/>
      <c r="M237" s="2812"/>
      <c r="N237" s="2851"/>
      <c r="O237" s="2812"/>
      <c r="P237" s="2812"/>
      <c r="Q237" s="2812"/>
      <c r="R237" s="2812"/>
      <c r="S237" s="2812"/>
      <c r="T237" s="2812"/>
      <c r="U237" s="2848"/>
    </row>
    <row r="238" spans="1:21" x14ac:dyDescent="0.25">
      <c r="A238" s="1229"/>
      <c r="B238" s="1225" t="s">
        <v>51</v>
      </c>
      <c r="C238" s="1227"/>
      <c r="D238" s="1227" t="s">
        <v>452</v>
      </c>
      <c r="E238" s="1227" t="s">
        <v>534</v>
      </c>
      <c r="F238" s="1227"/>
      <c r="G238" s="1665"/>
      <c r="H238" s="2857">
        <f>H239+H245</f>
        <v>3991.6709100000003</v>
      </c>
      <c r="I238" s="2858">
        <f>I240+I245</f>
        <v>0</v>
      </c>
      <c r="J238" s="2859">
        <f>J240+J245</f>
        <v>0</v>
      </c>
      <c r="K238" s="2812"/>
      <c r="L238" s="2812"/>
      <c r="M238" s="2812"/>
      <c r="N238" s="2860">
        <f>N240+N245</f>
        <v>875.99</v>
      </c>
      <c r="O238" s="2812"/>
      <c r="P238" s="2812"/>
      <c r="Q238" s="2812"/>
      <c r="R238" s="2812"/>
      <c r="S238" s="2812"/>
      <c r="T238" s="2812"/>
      <c r="U238" s="2857">
        <f>U240+U245</f>
        <v>1435.087</v>
      </c>
    </row>
    <row r="239" spans="1:21" ht="31.5" x14ac:dyDescent="0.25">
      <c r="A239" s="1229"/>
      <c r="B239" s="1205" t="s">
        <v>907</v>
      </c>
      <c r="C239" s="1227"/>
      <c r="D239" s="409" t="s">
        <v>452</v>
      </c>
      <c r="E239" s="409" t="s">
        <v>534</v>
      </c>
      <c r="F239" s="409" t="s">
        <v>292</v>
      </c>
      <c r="G239" s="1665"/>
      <c r="H239" s="2857">
        <f>H240</f>
        <v>296.87090999999998</v>
      </c>
      <c r="I239" s="2858"/>
      <c r="J239" s="2859"/>
      <c r="K239" s="2812"/>
      <c r="L239" s="2812"/>
      <c r="M239" s="2812"/>
      <c r="N239" s="2860">
        <f t="shared" ref="N239:U239" si="56">N240</f>
        <v>390</v>
      </c>
      <c r="O239" s="2812">
        <f t="shared" si="56"/>
        <v>0</v>
      </c>
      <c r="P239" s="2812">
        <f t="shared" si="56"/>
        <v>0</v>
      </c>
      <c r="Q239" s="2812">
        <f t="shared" si="56"/>
        <v>0</v>
      </c>
      <c r="R239" s="2812">
        <f t="shared" si="56"/>
        <v>0</v>
      </c>
      <c r="S239" s="2812">
        <f t="shared" si="56"/>
        <v>0</v>
      </c>
      <c r="T239" s="2812">
        <f t="shared" si="56"/>
        <v>0</v>
      </c>
      <c r="U239" s="2857">
        <f t="shared" si="56"/>
        <v>390</v>
      </c>
    </row>
    <row r="240" spans="1:21" ht="13" x14ac:dyDescent="0.25">
      <c r="A240" s="1179"/>
      <c r="B240" s="1093" t="s">
        <v>1263</v>
      </c>
      <c r="C240" s="409"/>
      <c r="D240" s="409" t="s">
        <v>452</v>
      </c>
      <c r="E240" s="409" t="s">
        <v>534</v>
      </c>
      <c r="F240" s="409" t="s">
        <v>1267</v>
      </c>
      <c r="G240" s="1662"/>
      <c r="H240" s="2848">
        <f t="shared" ref="H240:J241" si="57">H241</f>
        <v>296.87090999999998</v>
      </c>
      <c r="I240" s="2849">
        <f t="shared" si="57"/>
        <v>0</v>
      </c>
      <c r="J240" s="2865">
        <f t="shared" si="57"/>
        <v>0</v>
      </c>
      <c r="K240" s="2822">
        <f>330</f>
        <v>330</v>
      </c>
      <c r="L240" s="2812"/>
      <c r="M240" s="2812"/>
      <c r="N240" s="2851">
        <f t="shared" ref="N240:N241" si="58">N241</f>
        <v>390</v>
      </c>
      <c r="O240" s="2812"/>
      <c r="P240" s="2812"/>
      <c r="Q240" s="2812"/>
      <c r="R240" s="2812"/>
      <c r="S240" s="2812"/>
      <c r="T240" s="2812"/>
      <c r="U240" s="2848">
        <f t="shared" ref="U240:U241" si="59">U241</f>
        <v>390</v>
      </c>
    </row>
    <row r="241" spans="1:27" ht="39" x14ac:dyDescent="0.25">
      <c r="A241" s="1179"/>
      <c r="B241" s="1093" t="s">
        <v>1268</v>
      </c>
      <c r="C241" s="409"/>
      <c r="D241" s="409" t="s">
        <v>452</v>
      </c>
      <c r="E241" s="409" t="s">
        <v>534</v>
      </c>
      <c r="F241" s="409" t="s">
        <v>1266</v>
      </c>
      <c r="G241" s="1662"/>
      <c r="H241" s="2848">
        <f t="shared" si="57"/>
        <v>296.87090999999998</v>
      </c>
      <c r="I241" s="2849">
        <f t="shared" si="57"/>
        <v>0</v>
      </c>
      <c r="J241" s="2865">
        <f t="shared" si="57"/>
        <v>0</v>
      </c>
      <c r="K241" s="2812"/>
      <c r="L241" s="2812"/>
      <c r="M241" s="2812"/>
      <c r="N241" s="2851">
        <f t="shared" si="58"/>
        <v>390</v>
      </c>
      <c r="O241" s="2812"/>
      <c r="P241" s="2812"/>
      <c r="Q241" s="2812"/>
      <c r="R241" s="2812"/>
      <c r="S241" s="2812"/>
      <c r="T241" s="2812"/>
      <c r="U241" s="2848">
        <f t="shared" si="59"/>
        <v>390</v>
      </c>
    </row>
    <row r="242" spans="1:27" ht="26" x14ac:dyDescent="0.25">
      <c r="A242" s="1179"/>
      <c r="B242" s="1094" t="s">
        <v>1255</v>
      </c>
      <c r="C242" s="1217"/>
      <c r="D242" s="1217" t="s">
        <v>452</v>
      </c>
      <c r="E242" s="1217" t="s">
        <v>534</v>
      </c>
      <c r="F242" s="1217" t="s">
        <v>1265</v>
      </c>
      <c r="G242" s="1664"/>
      <c r="H242" s="2848">
        <f>H244</f>
        <v>296.87090999999998</v>
      </c>
      <c r="I242" s="2849">
        <f>I244</f>
        <v>0</v>
      </c>
      <c r="J242" s="2865">
        <f>J244</f>
        <v>0</v>
      </c>
      <c r="K242" s="2812"/>
      <c r="L242" s="2812"/>
      <c r="M242" s="2812"/>
      <c r="N242" s="2851">
        <f>N244</f>
        <v>390</v>
      </c>
      <c r="O242" s="2812"/>
      <c r="P242" s="2812"/>
      <c r="Q242" s="2812"/>
      <c r="R242" s="2812"/>
      <c r="S242" s="2812"/>
      <c r="T242" s="2812"/>
      <c r="U242" s="2848">
        <f>U244</f>
        <v>390</v>
      </c>
    </row>
    <row r="243" spans="1:27" x14ac:dyDescent="0.25">
      <c r="A243" s="1179"/>
      <c r="B243" s="753" t="s">
        <v>948</v>
      </c>
      <c r="C243" s="1217"/>
      <c r="D243" s="1217" t="s">
        <v>452</v>
      </c>
      <c r="E243" s="1217" t="s">
        <v>534</v>
      </c>
      <c r="F243" s="1217" t="s">
        <v>1265</v>
      </c>
      <c r="G243" s="1664" t="s">
        <v>955</v>
      </c>
      <c r="H243" s="2848">
        <f t="shared" ref="H243:U243" si="60">H244</f>
        <v>296.87090999999998</v>
      </c>
      <c r="I243" s="2849">
        <f t="shared" si="60"/>
        <v>0</v>
      </c>
      <c r="J243" s="2866">
        <f t="shared" si="60"/>
        <v>0</v>
      </c>
      <c r="K243" s="2812">
        <f t="shared" si="60"/>
        <v>0</v>
      </c>
      <c r="L243" s="2812">
        <f t="shared" si="60"/>
        <v>0</v>
      </c>
      <c r="M243" s="2812">
        <f t="shared" si="60"/>
        <v>0</v>
      </c>
      <c r="N243" s="2851">
        <f t="shared" si="60"/>
        <v>390</v>
      </c>
      <c r="O243" s="2812">
        <f t="shared" si="60"/>
        <v>0</v>
      </c>
      <c r="P243" s="2812">
        <f t="shared" si="60"/>
        <v>0</v>
      </c>
      <c r="Q243" s="2812">
        <f t="shared" si="60"/>
        <v>0</v>
      </c>
      <c r="R243" s="2812">
        <f t="shared" si="60"/>
        <v>0</v>
      </c>
      <c r="S243" s="2812">
        <f t="shared" si="60"/>
        <v>0</v>
      </c>
      <c r="T243" s="2812">
        <f t="shared" si="60"/>
        <v>0</v>
      </c>
      <c r="U243" s="2848">
        <f t="shared" si="60"/>
        <v>390</v>
      </c>
    </row>
    <row r="244" spans="1:27" ht="21" x14ac:dyDescent="0.25">
      <c r="A244" s="1179"/>
      <c r="B244" s="1182" t="s">
        <v>454</v>
      </c>
      <c r="C244" s="1217"/>
      <c r="D244" s="1217" t="s">
        <v>452</v>
      </c>
      <c r="E244" s="1217" t="s">
        <v>534</v>
      </c>
      <c r="F244" s="1217" t="s">
        <v>1265</v>
      </c>
      <c r="G244" s="1662" t="s">
        <v>1</v>
      </c>
      <c r="H244" s="2848">
        <v>296.87090999999998</v>
      </c>
      <c r="I244" s="2849"/>
      <c r="J244" s="2850"/>
      <c r="K244" s="2812"/>
      <c r="L244" s="2812"/>
      <c r="M244" s="2812"/>
      <c r="N244" s="2851">
        <v>390</v>
      </c>
      <c r="O244" s="2812"/>
      <c r="P244" s="2812"/>
      <c r="Q244" s="2812"/>
      <c r="R244" s="2812"/>
      <c r="S244" s="2812"/>
      <c r="T244" s="2812"/>
      <c r="U244" s="2848">
        <v>390</v>
      </c>
    </row>
    <row r="245" spans="1:27" ht="21" x14ac:dyDescent="0.25">
      <c r="A245" s="1233"/>
      <c r="B245" s="753" t="s">
        <v>499</v>
      </c>
      <c r="C245" s="1180"/>
      <c r="D245" s="409" t="s">
        <v>452</v>
      </c>
      <c r="E245" s="409" t="s">
        <v>534</v>
      </c>
      <c r="F245" s="409" t="s">
        <v>89</v>
      </c>
      <c r="G245" s="1662"/>
      <c r="H245" s="2848">
        <f>H246</f>
        <v>3694.8</v>
      </c>
      <c r="I245" s="2849">
        <f t="shared" ref="H245:J246" si="61">I246</f>
        <v>0</v>
      </c>
      <c r="J245" s="2865">
        <f t="shared" si="61"/>
        <v>0</v>
      </c>
      <c r="K245" s="2812"/>
      <c r="L245" s="2812"/>
      <c r="M245" s="2812"/>
      <c r="N245" s="2851">
        <f>N246</f>
        <v>485.99000000000007</v>
      </c>
      <c r="O245" s="2812"/>
      <c r="P245" s="2812"/>
      <c r="Q245" s="2812"/>
      <c r="R245" s="2812"/>
      <c r="S245" s="2812"/>
      <c r="T245" s="2812"/>
      <c r="U245" s="2848">
        <f>U246</f>
        <v>1045.087</v>
      </c>
    </row>
    <row r="246" spans="1:27" x14ac:dyDescent="0.25">
      <c r="A246" s="1179"/>
      <c r="B246" s="753" t="s">
        <v>109</v>
      </c>
      <c r="C246" s="1180"/>
      <c r="D246" s="409" t="s">
        <v>452</v>
      </c>
      <c r="E246" s="409" t="s">
        <v>534</v>
      </c>
      <c r="F246" s="409" t="s">
        <v>84</v>
      </c>
      <c r="G246" s="1662"/>
      <c r="H246" s="2848">
        <f t="shared" si="61"/>
        <v>3694.8</v>
      </c>
      <c r="I246" s="2849">
        <f t="shared" si="61"/>
        <v>0</v>
      </c>
      <c r="J246" s="2865">
        <f t="shared" si="61"/>
        <v>0</v>
      </c>
      <c r="K246" s="2812"/>
      <c r="L246" s="2812"/>
      <c r="M246" s="2812"/>
      <c r="N246" s="2851">
        <f t="shared" ref="N246" si="62">N247</f>
        <v>485.99000000000007</v>
      </c>
      <c r="O246" s="2812"/>
      <c r="P246" s="2812"/>
      <c r="Q246" s="2812"/>
      <c r="R246" s="2812"/>
      <c r="S246" s="2812"/>
      <c r="T246" s="2812"/>
      <c r="U246" s="2848">
        <f t="shared" ref="U246" si="63">U247</f>
        <v>1045.087</v>
      </c>
    </row>
    <row r="247" spans="1:27" x14ac:dyDescent="0.25">
      <c r="A247" s="1179"/>
      <c r="B247" s="753" t="s">
        <v>109</v>
      </c>
      <c r="C247" s="1180"/>
      <c r="D247" s="409" t="s">
        <v>452</v>
      </c>
      <c r="E247" s="409" t="s">
        <v>534</v>
      </c>
      <c r="F247" s="409" t="s">
        <v>82</v>
      </c>
      <c r="G247" s="1662"/>
      <c r="H247" s="2848">
        <f>H248+H251+H256+H257</f>
        <v>3694.8</v>
      </c>
      <c r="I247" s="2849">
        <f>I248+I251+I256</f>
        <v>0</v>
      </c>
      <c r="J247" s="2865">
        <f>J248+J251+J256</f>
        <v>0</v>
      </c>
      <c r="K247" s="2822">
        <f>K250+K253+K256</f>
        <v>94.8</v>
      </c>
      <c r="L247" s="2812"/>
      <c r="M247" s="2812"/>
      <c r="N247" s="2851">
        <f>N248+N251+N256+N257</f>
        <v>485.99000000000007</v>
      </c>
      <c r="O247" s="2812"/>
      <c r="P247" s="2812"/>
      <c r="Q247" s="2812"/>
      <c r="R247" s="2812"/>
      <c r="S247" s="2812"/>
      <c r="T247" s="2812"/>
      <c r="U247" s="2848">
        <f>U248+U251+U256+U257</f>
        <v>1045.087</v>
      </c>
    </row>
    <row r="248" spans="1:27" x14ac:dyDescent="0.25">
      <c r="A248" s="842"/>
      <c r="B248" s="753" t="s">
        <v>537</v>
      </c>
      <c r="C248" s="409"/>
      <c r="D248" s="409" t="s">
        <v>452</v>
      </c>
      <c r="E248" s="409" t="s">
        <v>534</v>
      </c>
      <c r="F248" s="409" t="s">
        <v>536</v>
      </c>
      <c r="G248" s="1662"/>
      <c r="H248" s="2848">
        <f>H250</f>
        <v>800</v>
      </c>
      <c r="I248" s="2849">
        <f>I250</f>
        <v>0</v>
      </c>
      <c r="J248" s="2865">
        <f>J250</f>
        <v>0</v>
      </c>
      <c r="K248" s="2812"/>
      <c r="L248" s="2812"/>
      <c r="M248" s="2812"/>
      <c r="N248" s="2851">
        <f>N250</f>
        <v>100</v>
      </c>
      <c r="O248" s="2812"/>
      <c r="P248" s="2812"/>
      <c r="Q248" s="2812"/>
      <c r="R248" s="2812"/>
      <c r="S248" s="2812"/>
      <c r="T248" s="2812"/>
      <c r="U248" s="2848">
        <f>U250</f>
        <v>500</v>
      </c>
    </row>
    <row r="249" spans="1:27" x14ac:dyDescent="0.25">
      <c r="A249" s="842"/>
      <c r="B249" s="753" t="s">
        <v>948</v>
      </c>
      <c r="C249" s="409"/>
      <c r="D249" s="1217" t="s">
        <v>452</v>
      </c>
      <c r="E249" s="1217" t="s">
        <v>534</v>
      </c>
      <c r="F249" s="1217" t="s">
        <v>536</v>
      </c>
      <c r="G249" s="1662" t="s">
        <v>955</v>
      </c>
      <c r="H249" s="2848">
        <f t="shared" ref="H249:U249" si="64">H250</f>
        <v>800</v>
      </c>
      <c r="I249" s="2849">
        <f t="shared" si="64"/>
        <v>0</v>
      </c>
      <c r="J249" s="2865">
        <f t="shared" si="64"/>
        <v>0</v>
      </c>
      <c r="K249" s="2812">
        <f t="shared" si="64"/>
        <v>0</v>
      </c>
      <c r="L249" s="2812">
        <f t="shared" si="64"/>
        <v>0</v>
      </c>
      <c r="M249" s="2812">
        <f t="shared" si="64"/>
        <v>0</v>
      </c>
      <c r="N249" s="2851">
        <f t="shared" si="64"/>
        <v>100</v>
      </c>
      <c r="O249" s="2812">
        <f t="shared" si="64"/>
        <v>0</v>
      </c>
      <c r="P249" s="2812">
        <f t="shared" si="64"/>
        <v>0</v>
      </c>
      <c r="Q249" s="2812">
        <f t="shared" si="64"/>
        <v>0</v>
      </c>
      <c r="R249" s="2812">
        <f t="shared" si="64"/>
        <v>0</v>
      </c>
      <c r="S249" s="2812">
        <f t="shared" si="64"/>
        <v>0</v>
      </c>
      <c r="T249" s="2812">
        <f t="shared" si="64"/>
        <v>0</v>
      </c>
      <c r="U249" s="2848">
        <f t="shared" si="64"/>
        <v>500</v>
      </c>
    </row>
    <row r="250" spans="1:27" ht="21" x14ac:dyDescent="0.25">
      <c r="A250" s="1229"/>
      <c r="B250" s="1182" t="s">
        <v>454</v>
      </c>
      <c r="C250" s="1217"/>
      <c r="D250" s="1217" t="s">
        <v>452</v>
      </c>
      <c r="E250" s="1217" t="s">
        <v>534</v>
      </c>
      <c r="F250" s="1217" t="s">
        <v>536</v>
      </c>
      <c r="G250" s="1662" t="s">
        <v>1</v>
      </c>
      <c r="H250" s="2848">
        <f>800</f>
        <v>800</v>
      </c>
      <c r="I250" s="2849"/>
      <c r="J250" s="2865"/>
      <c r="K250" s="2834"/>
      <c r="L250" s="2812"/>
      <c r="M250" s="2812"/>
      <c r="N250" s="2851">
        <f>2000-1900</f>
        <v>100</v>
      </c>
      <c r="O250" s="2812"/>
      <c r="P250" s="2812"/>
      <c r="Q250" s="2812"/>
      <c r="R250" s="2812"/>
      <c r="S250" s="2812"/>
      <c r="T250" s="2812"/>
      <c r="U250" s="2848">
        <v>500</v>
      </c>
    </row>
    <row r="251" spans="1:27" x14ac:dyDescent="0.25">
      <c r="A251" s="842"/>
      <c r="B251" s="753" t="s">
        <v>535</v>
      </c>
      <c r="C251" s="409"/>
      <c r="D251" s="409" t="s">
        <v>452</v>
      </c>
      <c r="E251" s="409" t="s">
        <v>534</v>
      </c>
      <c r="F251" s="409" t="s">
        <v>54</v>
      </c>
      <c r="G251" s="1662"/>
      <c r="H251" s="2848">
        <f>H253</f>
        <v>94.8</v>
      </c>
      <c r="I251" s="2849">
        <f>I253</f>
        <v>0</v>
      </c>
      <c r="J251" s="2865">
        <f>J253</f>
        <v>0</v>
      </c>
      <c r="K251" s="2812"/>
      <c r="L251" s="2812"/>
      <c r="M251" s="2812"/>
      <c r="N251" s="2851">
        <f>N253</f>
        <v>94.8</v>
      </c>
      <c r="O251" s="2812"/>
      <c r="P251" s="2812"/>
      <c r="Q251" s="2812"/>
      <c r="R251" s="2812"/>
      <c r="S251" s="2812"/>
      <c r="T251" s="2812"/>
      <c r="U251" s="2848">
        <f>U253</f>
        <v>94.8</v>
      </c>
    </row>
    <row r="252" spans="1:27" x14ac:dyDescent="0.25">
      <c r="A252" s="842"/>
      <c r="B252" s="753" t="s">
        <v>948</v>
      </c>
      <c r="C252" s="409"/>
      <c r="D252" s="1217" t="s">
        <v>452</v>
      </c>
      <c r="E252" s="1217" t="s">
        <v>534</v>
      </c>
      <c r="F252" s="1217" t="s">
        <v>54</v>
      </c>
      <c r="G252" s="1662" t="s">
        <v>955</v>
      </c>
      <c r="H252" s="2848">
        <f t="shared" ref="H252:U252" si="65">H253</f>
        <v>94.8</v>
      </c>
      <c r="I252" s="2849">
        <f t="shared" si="65"/>
        <v>0</v>
      </c>
      <c r="J252" s="2866">
        <f t="shared" si="65"/>
        <v>0</v>
      </c>
      <c r="K252" s="2812">
        <f t="shared" si="65"/>
        <v>94.8</v>
      </c>
      <c r="L252" s="2812">
        <f t="shared" si="65"/>
        <v>0</v>
      </c>
      <c r="M252" s="2812">
        <f t="shared" si="65"/>
        <v>0</v>
      </c>
      <c r="N252" s="2851">
        <f t="shared" si="65"/>
        <v>94.8</v>
      </c>
      <c r="O252" s="2812">
        <f t="shared" si="65"/>
        <v>0</v>
      </c>
      <c r="P252" s="2812">
        <f t="shared" si="65"/>
        <v>0</v>
      </c>
      <c r="Q252" s="2812">
        <f t="shared" si="65"/>
        <v>0</v>
      </c>
      <c r="R252" s="2812">
        <f t="shared" si="65"/>
        <v>0</v>
      </c>
      <c r="S252" s="2812">
        <f t="shared" si="65"/>
        <v>0</v>
      </c>
      <c r="T252" s="2812">
        <f t="shared" si="65"/>
        <v>0</v>
      </c>
      <c r="U252" s="2848">
        <f t="shared" si="65"/>
        <v>94.8</v>
      </c>
    </row>
    <row r="253" spans="1:27" ht="21" x14ac:dyDescent="0.25">
      <c r="A253" s="1234"/>
      <c r="B253" s="1182" t="s">
        <v>454</v>
      </c>
      <c r="C253" s="1217"/>
      <c r="D253" s="1217" t="s">
        <v>452</v>
      </c>
      <c r="E253" s="1217" t="s">
        <v>534</v>
      </c>
      <c r="F253" s="1217" t="s">
        <v>54</v>
      </c>
      <c r="G253" s="1662" t="s">
        <v>1</v>
      </c>
      <c r="H253" s="2848">
        <v>94.8</v>
      </c>
      <c r="I253" s="2849"/>
      <c r="J253" s="2850"/>
      <c r="K253" s="2812">
        <v>94.8</v>
      </c>
      <c r="L253" s="2812"/>
      <c r="M253" s="2812"/>
      <c r="N253" s="2851">
        <v>94.8</v>
      </c>
      <c r="O253" s="2812"/>
      <c r="P253" s="2812"/>
      <c r="Q253" s="2812"/>
      <c r="R253" s="2812"/>
      <c r="S253" s="2812"/>
      <c r="T253" s="2812"/>
      <c r="U253" s="2848">
        <v>94.8</v>
      </c>
    </row>
    <row r="254" spans="1:27" x14ac:dyDescent="0.25">
      <c r="A254" s="1234"/>
      <c r="B254" s="753" t="s">
        <v>53</v>
      </c>
      <c r="C254" s="409"/>
      <c r="D254" s="409" t="s">
        <v>452</v>
      </c>
      <c r="E254" s="409" t="s">
        <v>534</v>
      </c>
      <c r="F254" s="409" t="s">
        <v>50</v>
      </c>
      <c r="G254" s="1662"/>
      <c r="H254" s="2848">
        <f>H256+H257</f>
        <v>2800</v>
      </c>
      <c r="I254" s="2849">
        <f>I256</f>
        <v>0</v>
      </c>
      <c r="J254" s="2850">
        <f>J256</f>
        <v>0</v>
      </c>
      <c r="K254" s="2812"/>
      <c r="L254" s="2812"/>
      <c r="M254" s="2812"/>
      <c r="N254" s="2851">
        <f>N256+N257</f>
        <v>291.19000000000005</v>
      </c>
      <c r="O254" s="2812"/>
      <c r="P254" s="2812"/>
      <c r="Q254" s="2812"/>
      <c r="R254" s="2812"/>
      <c r="S254" s="2812"/>
      <c r="T254" s="2812"/>
      <c r="U254" s="2848">
        <f>U256+U257</f>
        <v>450.28699999999998</v>
      </c>
    </row>
    <row r="255" spans="1:27" x14ac:dyDescent="0.25">
      <c r="A255" s="1234"/>
      <c r="B255" s="753" t="s">
        <v>948</v>
      </c>
      <c r="C255" s="409"/>
      <c r="D255" s="1217" t="s">
        <v>452</v>
      </c>
      <c r="E255" s="1217" t="s">
        <v>534</v>
      </c>
      <c r="F255" s="1217" t="s">
        <v>50</v>
      </c>
      <c r="G255" s="1662" t="s">
        <v>955</v>
      </c>
      <c r="H255" s="2848">
        <f t="shared" ref="H255:U255" si="66">H256</f>
        <v>2800</v>
      </c>
      <c r="I255" s="2849">
        <f t="shared" si="66"/>
        <v>0</v>
      </c>
      <c r="J255" s="2850">
        <f t="shared" si="66"/>
        <v>0</v>
      </c>
      <c r="K255" s="2812">
        <f t="shared" si="66"/>
        <v>0</v>
      </c>
      <c r="L255" s="2812">
        <f t="shared" si="66"/>
        <v>0</v>
      </c>
      <c r="M255" s="2812">
        <f t="shared" si="66"/>
        <v>0</v>
      </c>
      <c r="N255" s="2851">
        <f t="shared" si="66"/>
        <v>291.19000000000005</v>
      </c>
      <c r="O255" s="2812">
        <f t="shared" si="66"/>
        <v>0</v>
      </c>
      <c r="P255" s="2812">
        <f t="shared" si="66"/>
        <v>0</v>
      </c>
      <c r="Q255" s="2812">
        <f t="shared" si="66"/>
        <v>0</v>
      </c>
      <c r="R255" s="2812">
        <f t="shared" si="66"/>
        <v>0</v>
      </c>
      <c r="S255" s="2812">
        <f t="shared" si="66"/>
        <v>0</v>
      </c>
      <c r="T255" s="2812">
        <f t="shared" si="66"/>
        <v>0</v>
      </c>
      <c r="U255" s="2848">
        <f t="shared" si="66"/>
        <v>450.28699999999998</v>
      </c>
    </row>
    <row r="256" spans="1:27" ht="21" x14ac:dyDescent="0.25">
      <c r="A256" s="1234"/>
      <c r="B256" s="1182" t="s">
        <v>454</v>
      </c>
      <c r="C256" s="1217"/>
      <c r="D256" s="1217" t="s">
        <v>452</v>
      </c>
      <c r="E256" s="1217" t="s">
        <v>534</v>
      </c>
      <c r="F256" s="1217" t="s">
        <v>50</v>
      </c>
      <c r="G256" s="1662" t="s">
        <v>1</v>
      </c>
      <c r="H256" s="2848">
        <f>1800+1000</f>
        <v>2800</v>
      </c>
      <c r="I256" s="2849"/>
      <c r="J256" s="2850"/>
      <c r="K256" s="2834"/>
      <c r="L256" s="2812"/>
      <c r="M256" s="2812"/>
      <c r="N256" s="2851">
        <f>1800+2291.19-1800-2000</f>
        <v>291.19000000000005</v>
      </c>
      <c r="O256" s="2812"/>
      <c r="P256" s="2812"/>
      <c r="Q256" s="2812"/>
      <c r="R256" s="2812"/>
      <c r="S256" s="2812"/>
      <c r="T256" s="2812"/>
      <c r="U256" s="2848">
        <v>450.28699999999998</v>
      </c>
      <c r="AA256" s="1">
        <v>-5</v>
      </c>
    </row>
    <row r="257" spans="1:21" hidden="1" x14ac:dyDescent="0.25">
      <c r="A257" s="1234"/>
      <c r="B257" s="1182" t="s">
        <v>622</v>
      </c>
      <c r="C257" s="1217"/>
      <c r="D257" s="1217"/>
      <c r="E257" s="1217"/>
      <c r="F257" s="1217"/>
      <c r="G257" s="1662"/>
      <c r="H257" s="2848"/>
      <c r="I257" s="2849"/>
      <c r="J257" s="2866"/>
      <c r="K257" s="2812"/>
      <c r="L257" s="2812"/>
      <c r="M257" s="2812"/>
      <c r="N257" s="2851"/>
      <c r="O257" s="2812"/>
      <c r="P257" s="2812"/>
      <c r="Q257" s="2812"/>
      <c r="R257" s="2812"/>
      <c r="S257" s="2812"/>
      <c r="T257" s="2812"/>
      <c r="U257" s="2848"/>
    </row>
    <row r="258" spans="1:21" x14ac:dyDescent="0.25">
      <c r="A258" s="1234"/>
      <c r="B258" s="1225" t="s">
        <v>378</v>
      </c>
      <c r="C258" s="1226"/>
      <c r="D258" s="1227" t="s">
        <v>463</v>
      </c>
      <c r="E258" s="1227" t="s">
        <v>459</v>
      </c>
      <c r="F258" s="1227"/>
      <c r="G258" s="1665"/>
      <c r="H258" s="2857">
        <f>H259+H281+H354</f>
        <v>66152.413520000016</v>
      </c>
      <c r="I258" s="2858">
        <f>I259+I281+I354</f>
        <v>17214.18</v>
      </c>
      <c r="J258" s="2859">
        <f>J259+J281+J354</f>
        <v>13826.606</v>
      </c>
      <c r="K258" s="2812"/>
      <c r="L258" s="2812"/>
      <c r="M258" s="2812"/>
      <c r="N258" s="2860">
        <f>N259+N281+N354</f>
        <v>53923.357860000004</v>
      </c>
      <c r="O258" s="2812"/>
      <c r="P258" s="2812"/>
      <c r="Q258" s="2812"/>
      <c r="R258" s="2812"/>
      <c r="S258" s="2812"/>
      <c r="T258" s="2812"/>
      <c r="U258" s="2857">
        <f>U259+U281+U354</f>
        <v>49702.413</v>
      </c>
    </row>
    <row r="259" spans="1:21" x14ac:dyDescent="0.25">
      <c r="A259" s="1229"/>
      <c r="B259" s="1225" t="s">
        <v>11</v>
      </c>
      <c r="C259" s="1227"/>
      <c r="D259" s="1227" t="s">
        <v>463</v>
      </c>
      <c r="E259" s="1227" t="s">
        <v>456</v>
      </c>
      <c r="F259" s="1227"/>
      <c r="G259" s="1665"/>
      <c r="H259" s="2857">
        <f>H269</f>
        <v>1204.7970800000001</v>
      </c>
      <c r="I259" s="2858">
        <f>I269</f>
        <v>0</v>
      </c>
      <c r="J259" s="2859">
        <f>J269</f>
        <v>0</v>
      </c>
      <c r="K259" s="2812"/>
      <c r="L259" s="2812"/>
      <c r="M259" s="2812"/>
      <c r="N259" s="2860">
        <f>N269+N260</f>
        <v>1277.085</v>
      </c>
      <c r="O259" s="2812"/>
      <c r="P259" s="2812"/>
      <c r="Q259" s="2812"/>
      <c r="R259" s="2812"/>
      <c r="S259" s="2812"/>
      <c r="T259" s="2812"/>
      <c r="U259" s="2857">
        <f>U269+U260</f>
        <v>1277.085</v>
      </c>
    </row>
    <row r="260" spans="1:21" ht="31.5" hidden="1" x14ac:dyDescent="0.25">
      <c r="A260" s="1229"/>
      <c r="B260" s="1203" t="s">
        <v>861</v>
      </c>
      <c r="C260" s="1177"/>
      <c r="D260" s="408" t="s">
        <v>463</v>
      </c>
      <c r="E260" s="408" t="s">
        <v>456</v>
      </c>
      <c r="F260" s="408" t="s">
        <v>468</v>
      </c>
      <c r="G260" s="1661"/>
      <c r="H260" s="2852">
        <f>H261+H265</f>
        <v>0</v>
      </c>
      <c r="I260" s="2858"/>
      <c r="J260" s="2859"/>
      <c r="K260" s="2812"/>
      <c r="L260" s="2812"/>
      <c r="M260" s="2812"/>
      <c r="N260" s="2856"/>
      <c r="O260" s="2812"/>
      <c r="P260" s="2812"/>
      <c r="Q260" s="2812"/>
      <c r="R260" s="2812"/>
      <c r="S260" s="2812"/>
      <c r="T260" s="2812"/>
      <c r="U260" s="2852"/>
    </row>
    <row r="261" spans="1:21" hidden="1" x14ac:dyDescent="0.25">
      <c r="A261" s="1229"/>
      <c r="B261" s="1203" t="s">
        <v>849</v>
      </c>
      <c r="C261" s="1180"/>
      <c r="D261" s="409" t="s">
        <v>463</v>
      </c>
      <c r="E261" s="409" t="s">
        <v>456</v>
      </c>
      <c r="F261" s="409" t="s">
        <v>854</v>
      </c>
      <c r="G261" s="1662"/>
      <c r="H261" s="2848">
        <f>H262</f>
        <v>0</v>
      </c>
      <c r="I261" s="2858"/>
      <c r="J261" s="2859"/>
      <c r="K261" s="2822">
        <v>186.20699999999999</v>
      </c>
      <c r="L261" s="2812"/>
      <c r="M261" s="2812"/>
      <c r="N261" s="2851"/>
      <c r="O261" s="2812"/>
      <c r="P261" s="2812"/>
      <c r="Q261" s="2812"/>
      <c r="R261" s="2812"/>
      <c r="S261" s="2812"/>
      <c r="T261" s="2812"/>
      <c r="U261" s="2848"/>
    </row>
    <row r="262" spans="1:21" hidden="1" x14ac:dyDescent="0.25">
      <c r="A262" s="1229"/>
      <c r="B262" s="1203" t="s">
        <v>850</v>
      </c>
      <c r="C262" s="1180"/>
      <c r="D262" s="409" t="s">
        <v>463</v>
      </c>
      <c r="E262" s="409" t="s">
        <v>456</v>
      </c>
      <c r="F262" s="409" t="s">
        <v>855</v>
      </c>
      <c r="G262" s="1662"/>
      <c r="H262" s="2848">
        <f>H263</f>
        <v>0</v>
      </c>
      <c r="I262" s="2858"/>
      <c r="J262" s="2859"/>
      <c r="K262" s="2812"/>
      <c r="L262" s="2812"/>
      <c r="M262" s="2812"/>
      <c r="N262" s="2851"/>
      <c r="O262" s="2812"/>
      <c r="P262" s="2812"/>
      <c r="Q262" s="2812"/>
      <c r="R262" s="2812"/>
      <c r="S262" s="2812"/>
      <c r="T262" s="2812"/>
      <c r="U262" s="2848"/>
    </row>
    <row r="263" spans="1:21" ht="31.5" hidden="1" x14ac:dyDescent="0.25">
      <c r="A263" s="1229"/>
      <c r="B263" s="1232" t="s">
        <v>851</v>
      </c>
      <c r="C263" s="1180"/>
      <c r="D263" s="409" t="s">
        <v>463</v>
      </c>
      <c r="E263" s="409" t="s">
        <v>456</v>
      </c>
      <c r="F263" s="1864" t="s">
        <v>856</v>
      </c>
      <c r="G263" s="1662"/>
      <c r="H263" s="2848">
        <f>H264</f>
        <v>0</v>
      </c>
      <c r="I263" s="2858"/>
      <c r="J263" s="2859"/>
      <c r="K263" s="2812"/>
      <c r="L263" s="2812"/>
      <c r="M263" s="2812"/>
      <c r="N263" s="2851"/>
      <c r="O263" s="2812"/>
      <c r="P263" s="2812"/>
      <c r="Q263" s="2812"/>
      <c r="R263" s="2812"/>
      <c r="S263" s="2812"/>
      <c r="T263" s="2812"/>
      <c r="U263" s="2848"/>
    </row>
    <row r="264" spans="1:21" hidden="1" x14ac:dyDescent="0.25">
      <c r="A264" s="1229"/>
      <c r="B264" s="1236" t="s">
        <v>497</v>
      </c>
      <c r="C264" s="1183"/>
      <c r="D264" s="409" t="s">
        <v>463</v>
      </c>
      <c r="E264" s="409" t="s">
        <v>456</v>
      </c>
      <c r="F264" s="1864" t="s">
        <v>856</v>
      </c>
      <c r="G264" s="1662" t="s">
        <v>77</v>
      </c>
      <c r="H264" s="2867"/>
      <c r="I264" s="2858"/>
      <c r="J264" s="2859"/>
      <c r="K264" s="2812">
        <v>130.441</v>
      </c>
      <c r="L264" s="2812"/>
      <c r="M264" s="2812"/>
      <c r="N264" s="2868"/>
      <c r="O264" s="2812"/>
      <c r="P264" s="2812"/>
      <c r="Q264" s="2812"/>
      <c r="R264" s="2812"/>
      <c r="S264" s="2812"/>
      <c r="T264" s="2812"/>
      <c r="U264" s="2867"/>
    </row>
    <row r="265" spans="1:21" ht="21" hidden="1" x14ac:dyDescent="0.25">
      <c r="A265" s="1229"/>
      <c r="B265" s="1203" t="s">
        <v>853</v>
      </c>
      <c r="C265" s="1183"/>
      <c r="D265" s="409" t="s">
        <v>463</v>
      </c>
      <c r="E265" s="409" t="s">
        <v>456</v>
      </c>
      <c r="F265" s="1864" t="s">
        <v>857</v>
      </c>
      <c r="G265" s="1662"/>
      <c r="H265" s="2867">
        <f>H266</f>
        <v>0</v>
      </c>
      <c r="I265" s="2858"/>
      <c r="J265" s="2859"/>
      <c r="K265" s="2812"/>
      <c r="L265" s="2812"/>
      <c r="M265" s="2812"/>
      <c r="N265" s="2868"/>
      <c r="O265" s="2812"/>
      <c r="P265" s="2812"/>
      <c r="Q265" s="2812"/>
      <c r="R265" s="2812"/>
      <c r="S265" s="2812"/>
      <c r="T265" s="2812"/>
      <c r="U265" s="2867"/>
    </row>
    <row r="266" spans="1:21" hidden="1" x14ac:dyDescent="0.25">
      <c r="A266" s="1229"/>
      <c r="B266" s="1203" t="s">
        <v>850</v>
      </c>
      <c r="C266" s="1183"/>
      <c r="D266" s="409" t="s">
        <v>463</v>
      </c>
      <c r="E266" s="409" t="s">
        <v>456</v>
      </c>
      <c r="F266" s="409" t="s">
        <v>858</v>
      </c>
      <c r="G266" s="1662"/>
      <c r="H266" s="2867">
        <f>H267</f>
        <v>0</v>
      </c>
      <c r="I266" s="2858"/>
      <c r="J266" s="2859"/>
      <c r="K266" s="2812"/>
      <c r="L266" s="2812"/>
      <c r="M266" s="2812"/>
      <c r="N266" s="2868"/>
      <c r="O266" s="2812"/>
      <c r="P266" s="2812"/>
      <c r="Q266" s="2812"/>
      <c r="R266" s="2812"/>
      <c r="S266" s="2812"/>
      <c r="T266" s="2812"/>
      <c r="U266" s="2867"/>
    </row>
    <row r="267" spans="1:21" ht="31.5" hidden="1" x14ac:dyDescent="0.25">
      <c r="A267" s="1229"/>
      <c r="B267" s="1203" t="s">
        <v>851</v>
      </c>
      <c r="C267" s="1183"/>
      <c r="D267" s="409" t="s">
        <v>463</v>
      </c>
      <c r="E267" s="409" t="s">
        <v>456</v>
      </c>
      <c r="F267" s="1864" t="s">
        <v>859</v>
      </c>
      <c r="G267" s="1662"/>
      <c r="H267" s="2867">
        <f>H268</f>
        <v>0</v>
      </c>
      <c r="I267" s="2858"/>
      <c r="J267" s="2859"/>
      <c r="K267" s="2812"/>
      <c r="L267" s="2812"/>
      <c r="M267" s="2812"/>
      <c r="N267" s="2868"/>
      <c r="O267" s="2812"/>
      <c r="P267" s="2812"/>
      <c r="Q267" s="2812"/>
      <c r="R267" s="2812"/>
      <c r="S267" s="2812"/>
      <c r="T267" s="2812"/>
      <c r="U267" s="2867"/>
    </row>
    <row r="268" spans="1:21" hidden="1" x14ac:dyDescent="0.25">
      <c r="A268" s="1229"/>
      <c r="B268" s="1236" t="s">
        <v>497</v>
      </c>
      <c r="C268" s="1183"/>
      <c r="D268" s="409" t="s">
        <v>463</v>
      </c>
      <c r="E268" s="409" t="s">
        <v>456</v>
      </c>
      <c r="F268" s="1864" t="s">
        <v>859</v>
      </c>
      <c r="G268" s="1662" t="s">
        <v>77</v>
      </c>
      <c r="H268" s="2867"/>
      <c r="I268" s="2858"/>
      <c r="J268" s="2859"/>
      <c r="K268" s="2812">
        <v>55.765999999999998</v>
      </c>
      <c r="L268" s="2812"/>
      <c r="M268" s="2812"/>
      <c r="N268" s="2868"/>
      <c r="O268" s="2812"/>
      <c r="P268" s="2812"/>
      <c r="Q268" s="2812"/>
      <c r="R268" s="2812"/>
      <c r="S268" s="2812"/>
      <c r="T268" s="2812"/>
      <c r="U268" s="2867"/>
    </row>
    <row r="269" spans="1:21" ht="22.5" customHeight="1" x14ac:dyDescent="0.25">
      <c r="A269" s="1233"/>
      <c r="B269" s="753" t="s">
        <v>499</v>
      </c>
      <c r="C269" s="1180"/>
      <c r="D269" s="409" t="s">
        <v>463</v>
      </c>
      <c r="E269" s="409" t="s">
        <v>456</v>
      </c>
      <c r="F269" s="409" t="s">
        <v>89</v>
      </c>
      <c r="G269" s="1662"/>
      <c r="H269" s="2848">
        <f t="shared" ref="H269:J270" si="67">H270</f>
        <v>1204.7970800000001</v>
      </c>
      <c r="I269" s="2849">
        <f t="shared" si="67"/>
        <v>0</v>
      </c>
      <c r="J269" s="2865">
        <f t="shared" si="67"/>
        <v>0</v>
      </c>
      <c r="K269" s="2812"/>
      <c r="L269" s="2812"/>
      <c r="M269" s="2812"/>
      <c r="N269" s="2851">
        <f t="shared" ref="N269:N270" si="68">N270</f>
        <v>1277.085</v>
      </c>
      <c r="O269" s="2812"/>
      <c r="P269" s="2812"/>
      <c r="Q269" s="2812"/>
      <c r="R269" s="2812"/>
      <c r="S269" s="2812"/>
      <c r="T269" s="2812"/>
      <c r="U269" s="2848">
        <f t="shared" ref="U269:U270" si="69">U270</f>
        <v>1277.085</v>
      </c>
    </row>
    <row r="270" spans="1:21" x14ac:dyDescent="0.25">
      <c r="A270" s="1179"/>
      <c r="B270" s="753" t="s">
        <v>109</v>
      </c>
      <c r="C270" s="1180"/>
      <c r="D270" s="409" t="s">
        <v>463</v>
      </c>
      <c r="E270" s="409" t="s">
        <v>456</v>
      </c>
      <c r="F270" s="409" t="s">
        <v>84</v>
      </c>
      <c r="G270" s="1662"/>
      <c r="H270" s="2848">
        <f t="shared" si="67"/>
        <v>1204.7970800000001</v>
      </c>
      <c r="I270" s="2849">
        <f t="shared" si="67"/>
        <v>0</v>
      </c>
      <c r="J270" s="2865">
        <f t="shared" si="67"/>
        <v>0</v>
      </c>
      <c r="K270" s="2812"/>
      <c r="L270" s="2812"/>
      <c r="M270" s="2812"/>
      <c r="N270" s="2851">
        <f t="shared" si="68"/>
        <v>1277.085</v>
      </c>
      <c r="O270" s="2812"/>
      <c r="P270" s="2812"/>
      <c r="Q270" s="2812"/>
      <c r="R270" s="2812"/>
      <c r="S270" s="2812"/>
      <c r="T270" s="2812"/>
      <c r="U270" s="2848">
        <f t="shared" si="69"/>
        <v>1277.085</v>
      </c>
    </row>
    <row r="271" spans="1:21" x14ac:dyDescent="0.25">
      <c r="A271" s="1179"/>
      <c r="B271" s="753" t="s">
        <v>109</v>
      </c>
      <c r="C271" s="1180"/>
      <c r="D271" s="409" t="s">
        <v>463</v>
      </c>
      <c r="E271" s="409" t="s">
        <v>456</v>
      </c>
      <c r="F271" s="409" t="s">
        <v>82</v>
      </c>
      <c r="G271" s="1662"/>
      <c r="H271" s="2848">
        <f>H274+H278</f>
        <v>1204.7970800000001</v>
      </c>
      <c r="I271" s="2849">
        <f>I272+I274+I278</f>
        <v>0</v>
      </c>
      <c r="J271" s="2865">
        <f>J272+J274+J278</f>
        <v>0</v>
      </c>
      <c r="K271" s="2812"/>
      <c r="L271" s="2812"/>
      <c r="M271" s="2812"/>
      <c r="N271" s="2851">
        <f>N272+N274+N278</f>
        <v>1277.085</v>
      </c>
      <c r="O271" s="2812"/>
      <c r="P271" s="2812"/>
      <c r="Q271" s="2812"/>
      <c r="R271" s="2812"/>
      <c r="S271" s="2812"/>
      <c r="T271" s="2812"/>
      <c r="U271" s="2848">
        <f>U272+U274+U278</f>
        <v>1277.085</v>
      </c>
    </row>
    <row r="272" spans="1:21" hidden="1" x14ac:dyDescent="0.25">
      <c r="A272" s="842"/>
      <c r="B272" s="753" t="s">
        <v>533</v>
      </c>
      <c r="C272" s="409"/>
      <c r="D272" s="409" t="s">
        <v>463</v>
      </c>
      <c r="E272" s="409" t="s">
        <v>456</v>
      </c>
      <c r="F272" s="409" t="s">
        <v>30</v>
      </c>
      <c r="G272" s="1662"/>
      <c r="H272" s="2848">
        <f>H273</f>
        <v>0</v>
      </c>
      <c r="I272" s="2849">
        <f>I273</f>
        <v>0</v>
      </c>
      <c r="J272" s="2865">
        <f>J273</f>
        <v>0</v>
      </c>
      <c r="K272" s="2812"/>
      <c r="L272" s="2812"/>
      <c r="M272" s="2812"/>
      <c r="N272" s="2851">
        <f>N273</f>
        <v>0</v>
      </c>
      <c r="O272" s="2812"/>
      <c r="P272" s="2812"/>
      <c r="Q272" s="2812"/>
      <c r="R272" s="2812"/>
      <c r="S272" s="2812"/>
      <c r="T272" s="2812"/>
      <c r="U272" s="2848">
        <f>U273</f>
        <v>0</v>
      </c>
    </row>
    <row r="273" spans="1:21" ht="21" hidden="1" x14ac:dyDescent="0.25">
      <c r="A273" s="1229"/>
      <c r="B273" s="1182" t="s">
        <v>454</v>
      </c>
      <c r="C273" s="409"/>
      <c r="D273" s="1217" t="s">
        <v>463</v>
      </c>
      <c r="E273" s="1217" t="s">
        <v>456</v>
      </c>
      <c r="F273" s="409" t="s">
        <v>30</v>
      </c>
      <c r="G273" s="1662" t="s">
        <v>1</v>
      </c>
      <c r="H273" s="2848">
        <v>0</v>
      </c>
      <c r="I273" s="2849"/>
      <c r="J273" s="2850"/>
      <c r="K273" s="2812"/>
      <c r="L273" s="2812"/>
      <c r="M273" s="2812"/>
      <c r="N273" s="2851">
        <v>0</v>
      </c>
      <c r="O273" s="2812"/>
      <c r="P273" s="2812"/>
      <c r="Q273" s="2812"/>
      <c r="R273" s="2812"/>
      <c r="S273" s="2812"/>
      <c r="T273" s="2812"/>
      <c r="U273" s="2848">
        <v>0</v>
      </c>
    </row>
    <row r="274" spans="1:21" x14ac:dyDescent="0.25">
      <c r="A274" s="842"/>
      <c r="B274" s="753" t="s">
        <v>532</v>
      </c>
      <c r="C274" s="409"/>
      <c r="D274" s="409" t="s">
        <v>463</v>
      </c>
      <c r="E274" s="409" t="s">
        <v>456</v>
      </c>
      <c r="F274" s="409" t="s">
        <v>531</v>
      </c>
      <c r="G274" s="1662"/>
      <c r="H274" s="2848">
        <f>H275</f>
        <v>54</v>
      </c>
      <c r="I274" s="2849">
        <f>I275</f>
        <v>0</v>
      </c>
      <c r="J274" s="2850">
        <f>J275</f>
        <v>0</v>
      </c>
      <c r="K274" s="2812"/>
      <c r="L274" s="2812"/>
      <c r="M274" s="2812"/>
      <c r="N274" s="2851">
        <f>N275</f>
        <v>60</v>
      </c>
      <c r="O274" s="2812"/>
      <c r="P274" s="2812"/>
      <c r="Q274" s="2812"/>
      <c r="R274" s="2812"/>
      <c r="S274" s="2812"/>
      <c r="T274" s="2812"/>
      <c r="U274" s="2848">
        <f>U275</f>
        <v>60</v>
      </c>
    </row>
    <row r="275" spans="1:21" ht="21" x14ac:dyDescent="0.25">
      <c r="A275" s="1229"/>
      <c r="B275" s="1182" t="s">
        <v>454</v>
      </c>
      <c r="C275" s="409"/>
      <c r="D275" s="1217" t="s">
        <v>463</v>
      </c>
      <c r="E275" s="1217" t="s">
        <v>456</v>
      </c>
      <c r="F275" s="1217" t="s">
        <v>531</v>
      </c>
      <c r="G275" s="1662" t="s">
        <v>1</v>
      </c>
      <c r="H275" s="2848">
        <v>54</v>
      </c>
      <c r="I275" s="2849"/>
      <c r="J275" s="2850"/>
      <c r="K275" s="2812"/>
      <c r="L275" s="2812"/>
      <c r="M275" s="2812"/>
      <c r="N275" s="2851">
        <v>60</v>
      </c>
      <c r="O275" s="2812"/>
      <c r="P275" s="2812"/>
      <c r="Q275" s="2812"/>
      <c r="R275" s="2812"/>
      <c r="S275" s="2812"/>
      <c r="T275" s="2812"/>
      <c r="U275" s="2848">
        <v>60</v>
      </c>
    </row>
    <row r="276" spans="1:21" hidden="1" x14ac:dyDescent="0.25">
      <c r="A276" s="1229"/>
      <c r="B276" s="753" t="s">
        <v>1007</v>
      </c>
      <c r="C276" s="409"/>
      <c r="D276" s="409" t="s">
        <v>463</v>
      </c>
      <c r="E276" s="409" t="s">
        <v>456</v>
      </c>
      <c r="F276" s="1217" t="s">
        <v>30</v>
      </c>
      <c r="G276" s="1662"/>
      <c r="H276" s="2848">
        <f>H277</f>
        <v>0</v>
      </c>
      <c r="I276" s="2849"/>
      <c r="J276" s="2850"/>
      <c r="K276" s="2812"/>
      <c r="L276" s="2812"/>
      <c r="M276" s="2812"/>
      <c r="N276" s="2851"/>
      <c r="O276" s="2812"/>
      <c r="P276" s="2812"/>
      <c r="Q276" s="2812"/>
      <c r="R276" s="2812"/>
      <c r="S276" s="2812"/>
      <c r="T276" s="2812"/>
      <c r="U276" s="2848"/>
    </row>
    <row r="277" spans="1:21" ht="21" hidden="1" x14ac:dyDescent="0.25">
      <c r="A277" s="1229"/>
      <c r="B277" s="1182" t="s">
        <v>454</v>
      </c>
      <c r="C277" s="409"/>
      <c r="D277" s="409" t="s">
        <v>463</v>
      </c>
      <c r="E277" s="409" t="s">
        <v>456</v>
      </c>
      <c r="F277" s="1217" t="s">
        <v>30</v>
      </c>
      <c r="G277" s="1662" t="s">
        <v>1</v>
      </c>
      <c r="H277" s="2848"/>
      <c r="I277" s="2849"/>
      <c r="J277" s="2850"/>
      <c r="K277" s="2812"/>
      <c r="L277" s="2812"/>
      <c r="M277" s="2812"/>
      <c r="N277" s="2851"/>
      <c r="O277" s="2812"/>
      <c r="P277" s="2812"/>
      <c r="Q277" s="2812"/>
      <c r="R277" s="2812"/>
      <c r="S277" s="2812"/>
      <c r="T277" s="2812"/>
      <c r="U277" s="2848"/>
    </row>
    <row r="278" spans="1:21" x14ac:dyDescent="0.25">
      <c r="A278" s="842"/>
      <c r="B278" s="753" t="s">
        <v>12</v>
      </c>
      <c r="C278" s="409"/>
      <c r="D278" s="409" t="s">
        <v>463</v>
      </c>
      <c r="E278" s="409" t="s">
        <v>456</v>
      </c>
      <c r="F278" s="409" t="s">
        <v>10</v>
      </c>
      <c r="G278" s="1662"/>
      <c r="H278" s="2848">
        <f>H280</f>
        <v>1150.7970800000001</v>
      </c>
      <c r="I278" s="2849">
        <f>I280</f>
        <v>0</v>
      </c>
      <c r="J278" s="2850">
        <f>J280</f>
        <v>0</v>
      </c>
      <c r="K278" s="2812"/>
      <c r="L278" s="2812"/>
      <c r="M278" s="2812"/>
      <c r="N278" s="2851">
        <f>N280</f>
        <v>1217.085</v>
      </c>
      <c r="O278" s="2812"/>
      <c r="P278" s="2812"/>
      <c r="Q278" s="2812"/>
      <c r="R278" s="2812"/>
      <c r="S278" s="2812"/>
      <c r="T278" s="2812"/>
      <c r="U278" s="2848">
        <f>U280</f>
        <v>1217.085</v>
      </c>
    </row>
    <row r="279" spans="1:21" x14ac:dyDescent="0.25">
      <c r="A279" s="842"/>
      <c r="B279" s="753" t="s">
        <v>948</v>
      </c>
      <c r="C279" s="409"/>
      <c r="D279" s="1217" t="s">
        <v>463</v>
      </c>
      <c r="E279" s="1217" t="s">
        <v>456</v>
      </c>
      <c r="F279" s="1217" t="s">
        <v>10</v>
      </c>
      <c r="G279" s="1662" t="s">
        <v>955</v>
      </c>
      <c r="H279" s="2848">
        <f>H280</f>
        <v>1150.7970800000001</v>
      </c>
      <c r="I279" s="2849">
        <f t="shared" ref="I279:U279" si="70">I280</f>
        <v>0</v>
      </c>
      <c r="J279" s="2850">
        <f t="shared" si="70"/>
        <v>0</v>
      </c>
      <c r="K279" s="2812">
        <f t="shared" si="70"/>
        <v>0</v>
      </c>
      <c r="L279" s="2812">
        <f t="shared" si="70"/>
        <v>0</v>
      </c>
      <c r="M279" s="2812">
        <f t="shared" si="70"/>
        <v>0</v>
      </c>
      <c r="N279" s="2851">
        <f>N280</f>
        <v>1217.085</v>
      </c>
      <c r="O279" s="2812">
        <f t="shared" si="70"/>
        <v>0</v>
      </c>
      <c r="P279" s="2812">
        <f t="shared" si="70"/>
        <v>0</v>
      </c>
      <c r="Q279" s="2812">
        <f t="shared" si="70"/>
        <v>0</v>
      </c>
      <c r="R279" s="2812">
        <f t="shared" si="70"/>
        <v>0</v>
      </c>
      <c r="S279" s="2812">
        <f t="shared" si="70"/>
        <v>0</v>
      </c>
      <c r="T279" s="2812">
        <f t="shared" si="70"/>
        <v>0</v>
      </c>
      <c r="U279" s="2848">
        <f t="shared" si="70"/>
        <v>1217.085</v>
      </c>
    </row>
    <row r="280" spans="1:21" ht="21" x14ac:dyDescent="0.25">
      <c r="A280" s="1229"/>
      <c r="B280" s="1182" t="s">
        <v>454</v>
      </c>
      <c r="C280" s="409"/>
      <c r="D280" s="1217" t="s">
        <v>463</v>
      </c>
      <c r="E280" s="1217" t="s">
        <v>456</v>
      </c>
      <c r="F280" s="1217" t="s">
        <v>10</v>
      </c>
      <c r="G280" s="1662" t="s">
        <v>1</v>
      </c>
      <c r="H280" s="2848">
        <v>1150.7970800000001</v>
      </c>
      <c r="I280" s="2849"/>
      <c r="J280" s="2850"/>
      <c r="K280" s="2822"/>
      <c r="L280" s="2812"/>
      <c r="M280" s="2812"/>
      <c r="N280" s="2851">
        <v>1217.085</v>
      </c>
      <c r="O280" s="2812"/>
      <c r="P280" s="2812"/>
      <c r="Q280" s="2812"/>
      <c r="R280" s="2812"/>
      <c r="S280" s="2812"/>
      <c r="T280" s="2812"/>
      <c r="U280" s="2848">
        <v>1217.085</v>
      </c>
    </row>
    <row r="281" spans="1:21" x14ac:dyDescent="0.25">
      <c r="A281" s="1234"/>
      <c r="B281" s="1225" t="s">
        <v>530</v>
      </c>
      <c r="C281" s="1227"/>
      <c r="D281" s="1227" t="s">
        <v>463</v>
      </c>
      <c r="E281" s="1227" t="s">
        <v>488</v>
      </c>
      <c r="F281" s="1227"/>
      <c r="G281" s="1665"/>
      <c r="H281" s="2857">
        <f>H282+H300+H310</f>
        <v>10305.468500000001</v>
      </c>
      <c r="I281" s="2858">
        <f>I282+I310+I327</f>
        <v>3670.8</v>
      </c>
      <c r="J281" s="2859">
        <f>J282+J310+J327</f>
        <v>4037.88</v>
      </c>
      <c r="K281" s="2812"/>
      <c r="L281" s="2812"/>
      <c r="M281" s="2812"/>
      <c r="N281" s="2860">
        <f>N282+N310</f>
        <v>4331.92</v>
      </c>
      <c r="O281" s="2812"/>
      <c r="P281" s="2812"/>
      <c r="Q281" s="2812"/>
      <c r="R281" s="2812"/>
      <c r="S281" s="2812"/>
      <c r="T281" s="2812"/>
      <c r="U281" s="2857">
        <f>U282+U310</f>
        <v>970</v>
      </c>
    </row>
    <row r="282" spans="1:21" ht="21" x14ac:dyDescent="0.25">
      <c r="A282" s="1234"/>
      <c r="B282" s="1238" t="s">
        <v>884</v>
      </c>
      <c r="C282" s="409"/>
      <c r="D282" s="409" t="s">
        <v>463</v>
      </c>
      <c r="E282" s="409" t="s">
        <v>488</v>
      </c>
      <c r="F282" s="409" t="s">
        <v>196</v>
      </c>
      <c r="G282" s="1662"/>
      <c r="H282" s="2848">
        <f>H283+H290</f>
        <v>7342.42</v>
      </c>
      <c r="I282" s="2849">
        <f>I291</f>
        <v>0</v>
      </c>
      <c r="J282" s="2865">
        <f>J291</f>
        <v>0</v>
      </c>
      <c r="K282" s="2822">
        <f>K294</f>
        <v>0</v>
      </c>
      <c r="L282" s="2812"/>
      <c r="M282" s="2812"/>
      <c r="N282" s="2851">
        <f>N294+N299</f>
        <v>2391.92</v>
      </c>
      <c r="O282" s="2812"/>
      <c r="P282" s="2812"/>
      <c r="Q282" s="2812"/>
      <c r="R282" s="2812"/>
      <c r="S282" s="2812"/>
      <c r="T282" s="2812"/>
      <c r="U282" s="2848">
        <f t="shared" ref="U282" si="71">U291</f>
        <v>0</v>
      </c>
    </row>
    <row r="283" spans="1:21" ht="13" x14ac:dyDescent="0.25">
      <c r="A283" s="1234"/>
      <c r="B283" s="58" t="s">
        <v>1263</v>
      </c>
      <c r="C283" s="409"/>
      <c r="D283" s="1217" t="s">
        <v>463</v>
      </c>
      <c r="E283" s="1217" t="s">
        <v>488</v>
      </c>
      <c r="F283" s="409" t="s">
        <v>1351</v>
      </c>
      <c r="G283" s="1662"/>
      <c r="H283" s="2848">
        <f>H284</f>
        <v>1390</v>
      </c>
      <c r="I283" s="2849"/>
      <c r="J283" s="2865"/>
      <c r="K283" s="2822"/>
      <c r="L283" s="2812"/>
      <c r="M283" s="2812"/>
      <c r="N283" s="2851">
        <f>N284</f>
        <v>0</v>
      </c>
      <c r="O283" s="2812"/>
      <c r="P283" s="2812"/>
      <c r="Q283" s="2812"/>
      <c r="R283" s="2812"/>
      <c r="S283" s="2812"/>
      <c r="T283" s="2812"/>
      <c r="U283" s="2848">
        <f>U284</f>
        <v>0</v>
      </c>
    </row>
    <row r="284" spans="1:21" ht="13" x14ac:dyDescent="0.25">
      <c r="A284" s="1234"/>
      <c r="B284" s="3002" t="s">
        <v>1354</v>
      </c>
      <c r="C284" s="409"/>
      <c r="D284" s="1217" t="s">
        <v>463</v>
      </c>
      <c r="E284" s="1217" t="s">
        <v>488</v>
      </c>
      <c r="F284" s="409" t="s">
        <v>1352</v>
      </c>
      <c r="G284" s="1662"/>
      <c r="H284" s="2848">
        <f>H285</f>
        <v>1390</v>
      </c>
      <c r="I284" s="2849"/>
      <c r="J284" s="2865"/>
      <c r="K284" s="2822"/>
      <c r="L284" s="2812"/>
      <c r="M284" s="2812"/>
      <c r="N284" s="2851">
        <f>N285</f>
        <v>0</v>
      </c>
      <c r="O284" s="2812"/>
      <c r="P284" s="2812"/>
      <c r="Q284" s="2812"/>
      <c r="R284" s="2812"/>
      <c r="S284" s="2812"/>
      <c r="T284" s="2812"/>
      <c r="U284" s="2848">
        <f>U285</f>
        <v>0</v>
      </c>
    </row>
    <row r="285" spans="1:21" ht="23.15" customHeight="1" x14ac:dyDescent="0.25">
      <c r="A285" s="1234"/>
      <c r="B285" s="1242" t="s">
        <v>1252</v>
      </c>
      <c r="C285" s="409"/>
      <c r="D285" s="1217" t="s">
        <v>463</v>
      </c>
      <c r="E285" s="1217" t="s">
        <v>488</v>
      </c>
      <c r="F285" s="409" t="s">
        <v>1353</v>
      </c>
      <c r="G285" s="1662"/>
      <c r="H285" s="2848">
        <f>H286+H288</f>
        <v>1390</v>
      </c>
      <c r="I285" s="2849"/>
      <c r="J285" s="2865"/>
      <c r="K285" s="2822"/>
      <c r="L285" s="2812"/>
      <c r="M285" s="2812"/>
      <c r="N285" s="2851">
        <f>N286</f>
        <v>0</v>
      </c>
      <c r="O285" s="2812"/>
      <c r="P285" s="2812"/>
      <c r="Q285" s="2812"/>
      <c r="R285" s="2812"/>
      <c r="S285" s="2812"/>
      <c r="T285" s="2812"/>
      <c r="U285" s="2848">
        <f>U286</f>
        <v>0</v>
      </c>
    </row>
    <row r="286" spans="1:21" hidden="1" x14ac:dyDescent="0.25">
      <c r="A286" s="1234"/>
      <c r="B286" s="753" t="s">
        <v>948</v>
      </c>
      <c r="C286" s="409"/>
      <c r="D286" s="1217" t="s">
        <v>463</v>
      </c>
      <c r="E286" s="1217" t="s">
        <v>488</v>
      </c>
      <c r="F286" s="409" t="s">
        <v>1353</v>
      </c>
      <c r="G286" s="1664" t="s">
        <v>955</v>
      </c>
      <c r="H286" s="2848">
        <f>H287</f>
        <v>0</v>
      </c>
      <c r="I286" s="2849"/>
      <c r="J286" s="2865"/>
      <c r="K286" s="2822"/>
      <c r="L286" s="2812"/>
      <c r="M286" s="2812"/>
      <c r="N286" s="2851">
        <f>N287</f>
        <v>0</v>
      </c>
      <c r="O286" s="2812"/>
      <c r="P286" s="2812"/>
      <c r="Q286" s="2812"/>
      <c r="R286" s="2812"/>
      <c r="S286" s="2812"/>
      <c r="T286" s="2812"/>
      <c r="U286" s="2848">
        <f>U287</f>
        <v>0</v>
      </c>
    </row>
    <row r="287" spans="1:21" ht="21" hidden="1" x14ac:dyDescent="0.25">
      <c r="A287" s="1234"/>
      <c r="B287" s="1182" t="s">
        <v>454</v>
      </c>
      <c r="C287" s="409"/>
      <c r="D287" s="1217" t="s">
        <v>463</v>
      </c>
      <c r="E287" s="1217" t="s">
        <v>488</v>
      </c>
      <c r="F287" s="409" t="s">
        <v>1353</v>
      </c>
      <c r="G287" s="1662" t="s">
        <v>1</v>
      </c>
      <c r="H287" s="2848"/>
      <c r="I287" s="2849"/>
      <c r="J287" s="2865"/>
      <c r="K287" s="2822"/>
      <c r="L287" s="2812"/>
      <c r="M287" s="2812"/>
      <c r="N287" s="2851">
        <v>0</v>
      </c>
      <c r="O287" s="2812"/>
      <c r="P287" s="2812"/>
      <c r="Q287" s="2812"/>
      <c r="R287" s="2812"/>
      <c r="S287" s="2812"/>
      <c r="T287" s="2812"/>
      <c r="U287" s="2848">
        <v>0</v>
      </c>
    </row>
    <row r="288" spans="1:21" x14ac:dyDescent="0.25">
      <c r="A288" s="1234"/>
      <c r="B288" s="1242" t="s">
        <v>1061</v>
      </c>
      <c r="C288" s="409"/>
      <c r="D288" s="1217" t="s">
        <v>463</v>
      </c>
      <c r="E288" s="1217" t="s">
        <v>488</v>
      </c>
      <c r="F288" s="409" t="s">
        <v>1353</v>
      </c>
      <c r="G288" s="1664" t="s">
        <v>1060</v>
      </c>
      <c r="H288" s="2848">
        <f>H289</f>
        <v>1390</v>
      </c>
      <c r="I288" s="2849"/>
      <c r="J288" s="2865"/>
      <c r="K288" s="2822"/>
      <c r="L288" s="2812"/>
      <c r="M288" s="2812"/>
      <c r="N288" s="2851">
        <f>N289</f>
        <v>0</v>
      </c>
      <c r="O288" s="2812"/>
      <c r="P288" s="2812"/>
      <c r="Q288" s="2812"/>
      <c r="R288" s="2812"/>
      <c r="S288" s="2812"/>
      <c r="T288" s="2812"/>
      <c r="U288" s="2848">
        <f>U289</f>
        <v>0</v>
      </c>
    </row>
    <row r="289" spans="1:27" x14ac:dyDescent="0.25">
      <c r="A289" s="1234"/>
      <c r="B289" s="1182" t="s">
        <v>481</v>
      </c>
      <c r="C289" s="409"/>
      <c r="D289" s="1217" t="s">
        <v>463</v>
      </c>
      <c r="E289" s="1217" t="s">
        <v>488</v>
      </c>
      <c r="F289" s="409" t="s">
        <v>1353</v>
      </c>
      <c r="G289" s="1662" t="s">
        <v>26</v>
      </c>
      <c r="H289" s="2848">
        <f>1250+140</f>
        <v>1390</v>
      </c>
      <c r="I289" s="2849"/>
      <c r="J289" s="2865"/>
      <c r="K289" s="2822"/>
      <c r="L289" s="2812"/>
      <c r="M289" s="2812"/>
      <c r="N289" s="2851">
        <v>0</v>
      </c>
      <c r="O289" s="2812"/>
      <c r="P289" s="2812"/>
      <c r="Q289" s="2812"/>
      <c r="R289" s="2812"/>
      <c r="S289" s="2812"/>
      <c r="T289" s="2812"/>
      <c r="U289" s="2848">
        <v>0</v>
      </c>
    </row>
    <row r="290" spans="1:27" ht="13" x14ac:dyDescent="0.25">
      <c r="A290" s="1234"/>
      <c r="B290" s="2990" t="s">
        <v>1297</v>
      </c>
      <c r="C290" s="409"/>
      <c r="D290" s="1217" t="s">
        <v>463</v>
      </c>
      <c r="E290" s="1217" t="s">
        <v>488</v>
      </c>
      <c r="F290" s="409" t="s">
        <v>1309</v>
      </c>
      <c r="G290" s="1662"/>
      <c r="H290" s="2848">
        <f>H291</f>
        <v>5952.42</v>
      </c>
      <c r="I290" s="2849"/>
      <c r="J290" s="2865"/>
      <c r="K290" s="2822"/>
      <c r="L290" s="2812"/>
      <c r="M290" s="2812"/>
      <c r="N290" s="2851">
        <f t="shared" ref="N290:U290" si="72">N291</f>
        <v>0</v>
      </c>
      <c r="O290" s="2812">
        <f t="shared" si="72"/>
        <v>0</v>
      </c>
      <c r="P290" s="2812">
        <f t="shared" si="72"/>
        <v>0</v>
      </c>
      <c r="Q290" s="2812">
        <f t="shared" si="72"/>
        <v>0</v>
      </c>
      <c r="R290" s="2812">
        <f t="shared" si="72"/>
        <v>0</v>
      </c>
      <c r="S290" s="2812">
        <f t="shared" si="72"/>
        <v>0</v>
      </c>
      <c r="T290" s="2812">
        <f t="shared" si="72"/>
        <v>0</v>
      </c>
      <c r="U290" s="2848">
        <f t="shared" si="72"/>
        <v>0</v>
      </c>
    </row>
    <row r="291" spans="1:27" ht="39" x14ac:dyDescent="0.25">
      <c r="A291" s="1234"/>
      <c r="B291" s="1092" t="s">
        <v>1308</v>
      </c>
      <c r="C291" s="409"/>
      <c r="D291" s="1217" t="s">
        <v>463</v>
      </c>
      <c r="E291" s="1217" t="s">
        <v>488</v>
      </c>
      <c r="F291" s="409" t="s">
        <v>1307</v>
      </c>
      <c r="G291" s="1662"/>
      <c r="H291" s="2848">
        <f>H294+H296+H299</f>
        <v>5952.42</v>
      </c>
      <c r="I291" s="2849">
        <f t="shared" ref="I291:J291" si="73">I292</f>
        <v>0</v>
      </c>
      <c r="J291" s="2865">
        <f t="shared" si="73"/>
        <v>0</v>
      </c>
      <c r="K291" s="2812"/>
      <c r="L291" s="2812"/>
      <c r="M291" s="2812"/>
      <c r="N291" s="2851">
        <f t="shared" ref="N291" si="74">N292</f>
        <v>0</v>
      </c>
      <c r="O291" s="2812"/>
      <c r="P291" s="2812"/>
      <c r="Q291" s="2812"/>
      <c r="R291" s="2812"/>
      <c r="S291" s="2812"/>
      <c r="T291" s="2812"/>
      <c r="U291" s="2848">
        <f>U292+U299</f>
        <v>0</v>
      </c>
    </row>
    <row r="292" spans="1:27" ht="21" hidden="1" x14ac:dyDescent="0.25">
      <c r="A292" s="1234"/>
      <c r="B292" s="1239" t="s">
        <v>1191</v>
      </c>
      <c r="C292" s="1217"/>
      <c r="D292" s="1217" t="s">
        <v>463</v>
      </c>
      <c r="E292" s="1217" t="s">
        <v>488</v>
      </c>
      <c r="F292" s="1217" t="s">
        <v>191</v>
      </c>
      <c r="G292" s="1664"/>
      <c r="H292" s="2848">
        <f>H294+H296</f>
        <v>0</v>
      </c>
      <c r="I292" s="2849">
        <f>I294</f>
        <v>0</v>
      </c>
      <c r="J292" s="2865">
        <f>J294</f>
        <v>0</v>
      </c>
      <c r="K292" s="2812"/>
      <c r="L292" s="2812"/>
      <c r="M292" s="2812"/>
      <c r="N292" s="2851">
        <f>N294</f>
        <v>0</v>
      </c>
      <c r="O292" s="2812"/>
      <c r="P292" s="2812"/>
      <c r="Q292" s="2812"/>
      <c r="R292" s="2812"/>
      <c r="S292" s="2812"/>
      <c r="T292" s="2812"/>
      <c r="U292" s="2848">
        <f>U294</f>
        <v>0</v>
      </c>
    </row>
    <row r="293" spans="1:27" hidden="1" x14ac:dyDescent="0.25">
      <c r="A293" s="1234"/>
      <c r="B293" s="753" t="s">
        <v>948</v>
      </c>
      <c r="C293" s="1217"/>
      <c r="D293" s="1217" t="s">
        <v>463</v>
      </c>
      <c r="E293" s="1217" t="s">
        <v>488</v>
      </c>
      <c r="F293" s="1217" t="s">
        <v>191</v>
      </c>
      <c r="G293" s="1664" t="s">
        <v>955</v>
      </c>
      <c r="H293" s="2848">
        <f t="shared" ref="H293:U293" si="75">H294</f>
        <v>0</v>
      </c>
      <c r="I293" s="2849">
        <f t="shared" si="75"/>
        <v>0</v>
      </c>
      <c r="J293" s="2866">
        <f t="shared" si="75"/>
        <v>0</v>
      </c>
      <c r="K293" s="2812">
        <f t="shared" si="75"/>
        <v>0</v>
      </c>
      <c r="L293" s="2812">
        <f t="shared" si="75"/>
        <v>0</v>
      </c>
      <c r="M293" s="2812">
        <f t="shared" si="75"/>
        <v>0</v>
      </c>
      <c r="N293" s="2851">
        <f t="shared" si="75"/>
        <v>0</v>
      </c>
      <c r="O293" s="2812">
        <f t="shared" si="75"/>
        <v>0</v>
      </c>
      <c r="P293" s="2812">
        <f t="shared" si="75"/>
        <v>0</v>
      </c>
      <c r="Q293" s="2812">
        <f t="shared" si="75"/>
        <v>0</v>
      </c>
      <c r="R293" s="2812">
        <f t="shared" si="75"/>
        <v>0</v>
      </c>
      <c r="S293" s="2812">
        <f t="shared" si="75"/>
        <v>0</v>
      </c>
      <c r="T293" s="2812">
        <f t="shared" si="75"/>
        <v>0</v>
      </c>
      <c r="U293" s="2848">
        <f t="shared" si="75"/>
        <v>0</v>
      </c>
    </row>
    <row r="294" spans="1:27" ht="21" hidden="1" x14ac:dyDescent="0.25">
      <c r="A294" s="1234"/>
      <c r="B294" s="1182" t="s">
        <v>454</v>
      </c>
      <c r="C294" s="409"/>
      <c r="D294" s="1217" t="s">
        <v>463</v>
      </c>
      <c r="E294" s="1217" t="s">
        <v>488</v>
      </c>
      <c r="F294" s="1217" t="s">
        <v>191</v>
      </c>
      <c r="G294" s="1662" t="s">
        <v>1</v>
      </c>
      <c r="H294" s="2848">
        <f>400-400</f>
        <v>0</v>
      </c>
      <c r="I294" s="2849"/>
      <c r="J294" s="2850"/>
      <c r="K294" s="2812"/>
      <c r="L294" s="2812"/>
      <c r="M294" s="2812"/>
      <c r="N294" s="2851">
        <v>0</v>
      </c>
      <c r="O294" s="2812"/>
      <c r="P294" s="2812"/>
      <c r="Q294" s="2812"/>
      <c r="R294" s="2812"/>
      <c r="S294" s="2812"/>
      <c r="T294" s="2812"/>
      <c r="U294" s="2848">
        <v>0</v>
      </c>
    </row>
    <row r="295" spans="1:27" hidden="1" x14ac:dyDescent="0.25">
      <c r="A295" s="1234"/>
      <c r="B295" s="1242" t="s">
        <v>1061</v>
      </c>
      <c r="C295" s="409"/>
      <c r="D295" s="1217" t="s">
        <v>463</v>
      </c>
      <c r="E295" s="1217" t="s">
        <v>488</v>
      </c>
      <c r="F295" s="1217" t="s">
        <v>191</v>
      </c>
      <c r="G295" s="1662" t="s">
        <v>1060</v>
      </c>
      <c r="H295" s="2848">
        <f>H296</f>
        <v>0</v>
      </c>
      <c r="I295" s="2849"/>
      <c r="J295" s="2866"/>
      <c r="K295" s="2812"/>
      <c r="L295" s="2812"/>
      <c r="M295" s="2812"/>
      <c r="N295" s="2851">
        <v>0</v>
      </c>
      <c r="O295" s="2812"/>
      <c r="P295" s="2812"/>
      <c r="Q295" s="2812"/>
      <c r="R295" s="2812"/>
      <c r="S295" s="2812"/>
      <c r="T295" s="2812"/>
      <c r="U295" s="2848">
        <v>0</v>
      </c>
    </row>
    <row r="296" spans="1:27" hidden="1" x14ac:dyDescent="0.25">
      <c r="A296" s="1234"/>
      <c r="B296" s="1182" t="s">
        <v>481</v>
      </c>
      <c r="C296" s="409"/>
      <c r="D296" s="1217" t="s">
        <v>463</v>
      </c>
      <c r="E296" s="1217" t="s">
        <v>488</v>
      </c>
      <c r="F296" s="1217" t="s">
        <v>191</v>
      </c>
      <c r="G296" s="1662" t="s">
        <v>26</v>
      </c>
      <c r="H296" s="2848">
        <v>0</v>
      </c>
      <c r="I296" s="2849"/>
      <c r="J296" s="2866"/>
      <c r="K296" s="2812"/>
      <c r="L296" s="2812"/>
      <c r="M296" s="2812"/>
      <c r="N296" s="2851">
        <v>0</v>
      </c>
      <c r="O296" s="2812"/>
      <c r="P296" s="2812"/>
      <c r="Q296" s="2812"/>
      <c r="R296" s="2812"/>
      <c r="S296" s="2812"/>
      <c r="T296" s="2812"/>
      <c r="U296" s="2848">
        <v>0</v>
      </c>
    </row>
    <row r="297" spans="1:27" ht="21.65" customHeight="1" x14ac:dyDescent="0.25">
      <c r="A297" s="1234"/>
      <c r="B297" s="1242" t="s">
        <v>1252</v>
      </c>
      <c r="C297" s="409"/>
      <c r="D297" s="1217" t="s">
        <v>463</v>
      </c>
      <c r="E297" s="1217" t="s">
        <v>488</v>
      </c>
      <c r="F297" s="1217" t="s">
        <v>1306</v>
      </c>
      <c r="G297" s="1662"/>
      <c r="H297" s="2848">
        <f>H299</f>
        <v>5952.42</v>
      </c>
      <c r="I297" s="2849"/>
      <c r="J297" s="2866"/>
      <c r="K297" s="2812"/>
      <c r="L297" s="2812"/>
      <c r="M297" s="2812"/>
      <c r="N297" s="2851">
        <f>N299</f>
        <v>2391.92</v>
      </c>
      <c r="O297" s="2812"/>
      <c r="P297" s="2812"/>
      <c r="Q297" s="2812"/>
      <c r="R297" s="2812"/>
      <c r="S297" s="2812"/>
      <c r="T297" s="2812"/>
      <c r="U297" s="2848">
        <f>U299</f>
        <v>0</v>
      </c>
    </row>
    <row r="298" spans="1:27" ht="14.5" customHeight="1" x14ac:dyDescent="0.25">
      <c r="A298" s="1234"/>
      <c r="B298" s="1242" t="s">
        <v>1061</v>
      </c>
      <c r="C298" s="409"/>
      <c r="D298" s="1217" t="s">
        <v>463</v>
      </c>
      <c r="E298" s="1217" t="s">
        <v>488</v>
      </c>
      <c r="F298" s="1217" t="s">
        <v>1306</v>
      </c>
      <c r="G298" s="1662" t="s">
        <v>1060</v>
      </c>
      <c r="H298" s="2848">
        <f t="shared" ref="H298:U298" si="76">H299</f>
        <v>5952.42</v>
      </c>
      <c r="I298" s="2849">
        <f t="shared" si="76"/>
        <v>0</v>
      </c>
      <c r="J298" s="2866">
        <f t="shared" si="76"/>
        <v>0</v>
      </c>
      <c r="K298" s="2812">
        <f t="shared" si="76"/>
        <v>0</v>
      </c>
      <c r="L298" s="2812">
        <f t="shared" si="76"/>
        <v>0</v>
      </c>
      <c r="M298" s="2812">
        <f t="shared" si="76"/>
        <v>0</v>
      </c>
      <c r="N298" s="2851">
        <f t="shared" si="76"/>
        <v>2391.92</v>
      </c>
      <c r="O298" s="2812">
        <f t="shared" si="76"/>
        <v>0</v>
      </c>
      <c r="P298" s="2812">
        <f t="shared" si="76"/>
        <v>0</v>
      </c>
      <c r="Q298" s="2812">
        <f t="shared" si="76"/>
        <v>0</v>
      </c>
      <c r="R298" s="2812">
        <f t="shared" si="76"/>
        <v>0</v>
      </c>
      <c r="S298" s="2812">
        <f t="shared" si="76"/>
        <v>0</v>
      </c>
      <c r="T298" s="2812">
        <f t="shared" si="76"/>
        <v>0</v>
      </c>
      <c r="U298" s="2848">
        <f t="shared" si="76"/>
        <v>0</v>
      </c>
    </row>
    <row r="299" spans="1:27" x14ac:dyDescent="0.25">
      <c r="A299" s="1234"/>
      <c r="B299" s="1182" t="s">
        <v>481</v>
      </c>
      <c r="C299" s="409"/>
      <c r="D299" s="1217" t="s">
        <v>463</v>
      </c>
      <c r="E299" s="1217" t="s">
        <v>488</v>
      </c>
      <c r="F299" s="1217" t="s">
        <v>1306</v>
      </c>
      <c r="G299" s="1662" t="s">
        <v>26</v>
      </c>
      <c r="H299" s="2848">
        <f>6092.42-140</f>
        <v>5952.42</v>
      </c>
      <c r="I299" s="2849"/>
      <c r="J299" s="2866"/>
      <c r="K299" s="2812"/>
      <c r="L299" s="2812"/>
      <c r="M299" s="2812"/>
      <c r="N299" s="2851">
        <v>2391.92</v>
      </c>
      <c r="O299" s="2812"/>
      <c r="P299" s="2812"/>
      <c r="Q299" s="2812"/>
      <c r="R299" s="2812"/>
      <c r="S299" s="2812"/>
      <c r="T299" s="2812"/>
      <c r="U299" s="2848">
        <v>0</v>
      </c>
      <c r="AA299" s="1">
        <f>95+5</f>
        <v>100</v>
      </c>
    </row>
    <row r="300" spans="1:27" ht="30.75" customHeight="1" x14ac:dyDescent="0.25">
      <c r="A300" s="732"/>
      <c r="B300" s="1242" t="s">
        <v>1141</v>
      </c>
      <c r="C300" s="1193"/>
      <c r="D300" s="1217" t="s">
        <v>463</v>
      </c>
      <c r="E300" s="1217" t="s">
        <v>488</v>
      </c>
      <c r="F300" s="409" t="s">
        <v>1142</v>
      </c>
      <c r="G300" s="1663"/>
      <c r="H300" s="2848">
        <f>H301</f>
        <v>1595.5650000000001</v>
      </c>
      <c r="I300" s="2873"/>
      <c r="J300" s="2878"/>
      <c r="K300" s="2879"/>
      <c r="L300" s="2879"/>
      <c r="M300" s="2812"/>
      <c r="N300" s="2848">
        <f>N302</f>
        <v>124.565</v>
      </c>
      <c r="O300" s="2812"/>
      <c r="P300" s="2880"/>
      <c r="Q300" s="2880"/>
      <c r="R300" s="2812"/>
      <c r="S300" s="2812"/>
      <c r="T300" s="2812"/>
      <c r="U300" s="2848">
        <f>U302</f>
        <v>0</v>
      </c>
    </row>
    <row r="301" spans="1:27" ht="30.75" customHeight="1" x14ac:dyDescent="0.25">
      <c r="A301" s="732"/>
      <c r="B301" s="2269" t="s">
        <v>1297</v>
      </c>
      <c r="C301" s="1193"/>
      <c r="D301" s="409" t="s">
        <v>463</v>
      </c>
      <c r="E301" s="409" t="s">
        <v>488</v>
      </c>
      <c r="F301" s="409" t="s">
        <v>1323</v>
      </c>
      <c r="G301" s="1663"/>
      <c r="H301" s="2848">
        <f>H302+H306</f>
        <v>1595.5650000000001</v>
      </c>
      <c r="I301" s="2873"/>
      <c r="J301" s="2878"/>
      <c r="K301" s="2879"/>
      <c r="L301" s="2879"/>
      <c r="M301" s="2812"/>
      <c r="N301" s="2848">
        <f t="shared" ref="N301:U301" si="77">N302</f>
        <v>124.565</v>
      </c>
      <c r="O301" s="2812">
        <f t="shared" si="77"/>
        <v>0</v>
      </c>
      <c r="P301" s="2880">
        <f t="shared" si="77"/>
        <v>0</v>
      </c>
      <c r="Q301" s="2880">
        <f t="shared" si="77"/>
        <v>0</v>
      </c>
      <c r="R301" s="2812">
        <f t="shared" si="77"/>
        <v>0</v>
      </c>
      <c r="S301" s="2812">
        <f t="shared" si="77"/>
        <v>0</v>
      </c>
      <c r="T301" s="2812">
        <f t="shared" si="77"/>
        <v>0</v>
      </c>
      <c r="U301" s="2848">
        <f t="shared" si="77"/>
        <v>0</v>
      </c>
    </row>
    <row r="302" spans="1:27" ht="33" customHeight="1" x14ac:dyDescent="0.25">
      <c r="A302" s="732"/>
      <c r="B302" s="2067" t="s">
        <v>1322</v>
      </c>
      <c r="C302" s="1193"/>
      <c r="D302" s="1217" t="s">
        <v>463</v>
      </c>
      <c r="E302" s="1217" t="s">
        <v>488</v>
      </c>
      <c r="F302" s="409" t="s">
        <v>1321</v>
      </c>
      <c r="G302" s="1663"/>
      <c r="H302" s="2848">
        <f>H303</f>
        <v>945.56500000000005</v>
      </c>
      <c r="I302" s="2873"/>
      <c r="J302" s="2878"/>
      <c r="K302" s="2879"/>
      <c r="L302" s="2879"/>
      <c r="M302" s="2812"/>
      <c r="N302" s="2848">
        <f>N303</f>
        <v>124.565</v>
      </c>
      <c r="O302" s="2812"/>
      <c r="P302" s="2880"/>
      <c r="Q302" s="2880"/>
      <c r="R302" s="2812"/>
      <c r="S302" s="2812"/>
      <c r="T302" s="2812"/>
      <c r="U302" s="2848">
        <f>U303</f>
        <v>0</v>
      </c>
    </row>
    <row r="303" spans="1:27" ht="27.75" customHeight="1" x14ac:dyDescent="0.25">
      <c r="A303" s="732"/>
      <c r="B303" s="1242" t="s">
        <v>1249</v>
      </c>
      <c r="C303" s="1193"/>
      <c r="D303" s="1217" t="s">
        <v>463</v>
      </c>
      <c r="E303" s="409" t="s">
        <v>488</v>
      </c>
      <c r="F303" s="409" t="s">
        <v>1320</v>
      </c>
      <c r="G303" s="1663"/>
      <c r="H303" s="2848">
        <f>H304</f>
        <v>945.56500000000005</v>
      </c>
      <c r="I303" s="2873"/>
      <c r="J303" s="2878"/>
      <c r="K303" s="2879"/>
      <c r="L303" s="2879"/>
      <c r="M303" s="2812"/>
      <c r="N303" s="2848">
        <f>N304</f>
        <v>124.565</v>
      </c>
      <c r="O303" s="2812"/>
      <c r="P303" s="2880"/>
      <c r="Q303" s="2880"/>
      <c r="R303" s="2812"/>
      <c r="S303" s="2812"/>
      <c r="T303" s="2812"/>
      <c r="U303" s="2848">
        <f>U304</f>
        <v>0</v>
      </c>
    </row>
    <row r="304" spans="1:27" ht="30.75" customHeight="1" x14ac:dyDescent="0.25">
      <c r="A304" s="732"/>
      <c r="B304" s="1182" t="s">
        <v>1048</v>
      </c>
      <c r="C304" s="1193"/>
      <c r="D304" s="1217" t="s">
        <v>463</v>
      </c>
      <c r="E304" s="1217" t="s">
        <v>488</v>
      </c>
      <c r="F304" s="409" t="s">
        <v>1320</v>
      </c>
      <c r="G304" s="1663" t="s">
        <v>955</v>
      </c>
      <c r="H304" s="2848">
        <f>H305</f>
        <v>945.56500000000005</v>
      </c>
      <c r="I304" s="2873"/>
      <c r="J304" s="2878"/>
      <c r="K304" s="2879"/>
      <c r="L304" s="2879"/>
      <c r="M304" s="2812"/>
      <c r="N304" s="2848">
        <f>N305</f>
        <v>124.565</v>
      </c>
      <c r="O304" s="2812"/>
      <c r="P304" s="2880"/>
      <c r="Q304" s="2880"/>
      <c r="R304" s="2812"/>
      <c r="S304" s="2812"/>
      <c r="T304" s="2812"/>
      <c r="U304" s="2848">
        <f>U305</f>
        <v>0</v>
      </c>
    </row>
    <row r="305" spans="1:21" ht="30.75" customHeight="1" x14ac:dyDescent="0.25">
      <c r="A305" s="732"/>
      <c r="B305" s="1182" t="s">
        <v>454</v>
      </c>
      <c r="C305" s="1193"/>
      <c r="D305" s="1217" t="s">
        <v>463</v>
      </c>
      <c r="E305" s="409" t="s">
        <v>488</v>
      </c>
      <c r="F305" s="409" t="s">
        <v>1320</v>
      </c>
      <c r="G305" s="1663" t="s">
        <v>1</v>
      </c>
      <c r="H305" s="2848">
        <v>945.56500000000005</v>
      </c>
      <c r="I305" s="2849"/>
      <c r="J305" s="2850"/>
      <c r="K305" s="2812"/>
      <c r="L305" s="2812"/>
      <c r="M305" s="2812"/>
      <c r="N305" s="2871">
        <v>124.565</v>
      </c>
      <c r="O305" s="2812"/>
      <c r="P305" s="2812"/>
      <c r="Q305" s="2812"/>
      <c r="R305" s="2812"/>
      <c r="S305" s="2812"/>
      <c r="T305" s="2812"/>
      <c r="U305" s="2848">
        <v>0</v>
      </c>
    </row>
    <row r="306" spans="1:21" ht="33" customHeight="1" x14ac:dyDescent="0.25">
      <c r="A306" s="732"/>
      <c r="B306" s="2067" t="s">
        <v>1376</v>
      </c>
      <c r="C306" s="1193"/>
      <c r="D306" s="1217" t="s">
        <v>463</v>
      </c>
      <c r="E306" s="1217" t="s">
        <v>488</v>
      </c>
      <c r="F306" s="409" t="s">
        <v>1372</v>
      </c>
      <c r="G306" s="1663"/>
      <c r="H306" s="2848">
        <f>H307</f>
        <v>650</v>
      </c>
      <c r="I306" s="2873"/>
      <c r="J306" s="2878"/>
      <c r="K306" s="2879"/>
      <c r="L306" s="2879"/>
      <c r="M306" s="2812"/>
      <c r="N306" s="2848">
        <f>N307</f>
        <v>0</v>
      </c>
      <c r="O306" s="2812"/>
      <c r="P306" s="2880"/>
      <c r="Q306" s="2880"/>
      <c r="R306" s="2812"/>
      <c r="S306" s="2812"/>
      <c r="T306" s="2812"/>
      <c r="U306" s="2848">
        <f>U307</f>
        <v>0</v>
      </c>
    </row>
    <row r="307" spans="1:21" ht="27.75" customHeight="1" x14ac:dyDescent="0.25">
      <c r="A307" s="732"/>
      <c r="B307" s="1242" t="s">
        <v>1377</v>
      </c>
      <c r="C307" s="1193"/>
      <c r="D307" s="1217" t="s">
        <v>463</v>
      </c>
      <c r="E307" s="409" t="s">
        <v>488</v>
      </c>
      <c r="F307" s="409" t="s">
        <v>1373</v>
      </c>
      <c r="G307" s="1663"/>
      <c r="H307" s="2848">
        <f>H308</f>
        <v>650</v>
      </c>
      <c r="I307" s="2873"/>
      <c r="J307" s="2878"/>
      <c r="K307" s="2879"/>
      <c r="L307" s="2879"/>
      <c r="M307" s="2812"/>
      <c r="N307" s="2848">
        <f>N308</f>
        <v>0</v>
      </c>
      <c r="O307" s="2812"/>
      <c r="P307" s="2880"/>
      <c r="Q307" s="2880"/>
      <c r="R307" s="2812"/>
      <c r="S307" s="2812"/>
      <c r="T307" s="2812"/>
      <c r="U307" s="2848">
        <f>U308</f>
        <v>0</v>
      </c>
    </row>
    <row r="308" spans="1:21" ht="30.75" customHeight="1" x14ac:dyDescent="0.25">
      <c r="A308" s="732"/>
      <c r="B308" s="1182" t="s">
        <v>948</v>
      </c>
      <c r="C308" s="1193"/>
      <c r="D308" s="1217" t="s">
        <v>463</v>
      </c>
      <c r="E308" s="1217" t="s">
        <v>488</v>
      </c>
      <c r="F308" s="409" t="s">
        <v>1373</v>
      </c>
      <c r="G308" s="1663" t="s">
        <v>955</v>
      </c>
      <c r="H308" s="2848">
        <f>H309</f>
        <v>650</v>
      </c>
      <c r="I308" s="2873"/>
      <c r="J308" s="2878"/>
      <c r="K308" s="2879"/>
      <c r="L308" s="2879"/>
      <c r="M308" s="2812"/>
      <c r="N308" s="2848">
        <f>N309</f>
        <v>0</v>
      </c>
      <c r="O308" s="2812"/>
      <c r="P308" s="2880"/>
      <c r="Q308" s="2880"/>
      <c r="R308" s="2812"/>
      <c r="S308" s="2812"/>
      <c r="T308" s="2812"/>
      <c r="U308" s="2848">
        <f>U309</f>
        <v>0</v>
      </c>
    </row>
    <row r="309" spans="1:21" ht="30.75" customHeight="1" x14ac:dyDescent="0.25">
      <c r="A309" s="732"/>
      <c r="B309" s="1182" t="s">
        <v>454</v>
      </c>
      <c r="C309" s="1193"/>
      <c r="D309" s="1217" t="s">
        <v>463</v>
      </c>
      <c r="E309" s="409" t="s">
        <v>488</v>
      </c>
      <c r="F309" s="409" t="s">
        <v>1373</v>
      </c>
      <c r="G309" s="1663" t="s">
        <v>1</v>
      </c>
      <c r="H309" s="2848">
        <v>650</v>
      </c>
      <c r="I309" s="2849"/>
      <c r="J309" s="2850"/>
      <c r="K309" s="2812"/>
      <c r="L309" s="2812"/>
      <c r="M309" s="2812"/>
      <c r="N309" s="2871">
        <v>0</v>
      </c>
      <c r="O309" s="2812"/>
      <c r="P309" s="2812"/>
      <c r="Q309" s="2812"/>
      <c r="R309" s="2812"/>
      <c r="S309" s="2812"/>
      <c r="T309" s="2812"/>
      <c r="U309" s="2848">
        <v>0</v>
      </c>
    </row>
    <row r="310" spans="1:21" ht="45.65" customHeight="1" x14ac:dyDescent="0.25">
      <c r="A310" s="1179"/>
      <c r="B310" s="1203" t="s">
        <v>928</v>
      </c>
      <c r="C310" s="409"/>
      <c r="D310" s="409" t="s">
        <v>463</v>
      </c>
      <c r="E310" s="409" t="s">
        <v>488</v>
      </c>
      <c r="F310" s="409" t="s">
        <v>1241</v>
      </c>
      <c r="G310" s="1662"/>
      <c r="H310" s="2848">
        <f>H317</f>
        <v>1367.4835</v>
      </c>
      <c r="I310" s="2849">
        <f>I311</f>
        <v>3670.8</v>
      </c>
      <c r="J310" s="2865">
        <f>J311</f>
        <v>4037.88</v>
      </c>
      <c r="K310" s="2812"/>
      <c r="L310" s="2812"/>
      <c r="M310" s="2812"/>
      <c r="N310" s="2851">
        <f>N324+N326+N330</f>
        <v>1940</v>
      </c>
      <c r="O310" s="2812"/>
      <c r="P310" s="2812"/>
      <c r="Q310" s="2812"/>
      <c r="R310" s="2812"/>
      <c r="S310" s="2812"/>
      <c r="T310" s="2812"/>
      <c r="U310" s="2848">
        <f>U324+U326+U330</f>
        <v>970</v>
      </c>
    </row>
    <row r="311" spans="1:21" ht="21" hidden="1" x14ac:dyDescent="0.25">
      <c r="A311" s="1240"/>
      <c r="B311" s="1197" t="s">
        <v>180</v>
      </c>
      <c r="C311" s="1217"/>
      <c r="D311" s="1217" t="s">
        <v>463</v>
      </c>
      <c r="E311" s="1217" t="s">
        <v>488</v>
      </c>
      <c r="F311" s="1217" t="s">
        <v>179</v>
      </c>
      <c r="G311" s="1664"/>
      <c r="H311" s="2848">
        <f>H312</f>
        <v>0</v>
      </c>
      <c r="I311" s="2849">
        <f>I312</f>
        <v>3670.8</v>
      </c>
      <c r="J311" s="2865">
        <f>J312</f>
        <v>4037.88</v>
      </c>
      <c r="K311" s="2822">
        <f>K314</f>
        <v>7000</v>
      </c>
      <c r="L311" s="2812"/>
      <c r="M311" s="2812"/>
      <c r="N311" s="2851">
        <f>N312</f>
        <v>0</v>
      </c>
      <c r="O311" s="2812"/>
      <c r="P311" s="2812"/>
      <c r="Q311" s="2812"/>
      <c r="R311" s="2812"/>
      <c r="S311" s="2812"/>
      <c r="T311" s="2812"/>
      <c r="U311" s="2848">
        <f>U312</f>
        <v>0</v>
      </c>
    </row>
    <row r="312" spans="1:21" ht="30" hidden="1" customHeight="1" x14ac:dyDescent="0.25">
      <c r="A312" s="1240"/>
      <c r="B312" s="1197" t="s">
        <v>23</v>
      </c>
      <c r="C312" s="1217"/>
      <c r="D312" s="1217" t="s">
        <v>463</v>
      </c>
      <c r="E312" s="1217" t="s">
        <v>488</v>
      </c>
      <c r="F312" s="1217" t="s">
        <v>178</v>
      </c>
      <c r="G312" s="1664"/>
      <c r="H312" s="2848">
        <f>H313</f>
        <v>0</v>
      </c>
      <c r="I312" s="2849">
        <f>I314+I315</f>
        <v>3670.8</v>
      </c>
      <c r="J312" s="2865">
        <f>J314+J315</f>
        <v>4037.88</v>
      </c>
      <c r="K312" s="2812"/>
      <c r="L312" s="2812"/>
      <c r="M312" s="2812"/>
      <c r="N312" s="2851">
        <f>N314+N315</f>
        <v>0</v>
      </c>
      <c r="O312" s="2812"/>
      <c r="P312" s="2812"/>
      <c r="Q312" s="2812"/>
      <c r="R312" s="2812"/>
      <c r="S312" s="2812"/>
      <c r="T312" s="2812"/>
      <c r="U312" s="2848">
        <f>U314+U315</f>
        <v>0</v>
      </c>
    </row>
    <row r="313" spans="1:21" ht="30" hidden="1" customHeight="1" x14ac:dyDescent="0.25">
      <c r="A313" s="1240"/>
      <c r="B313" s="1182" t="s">
        <v>454</v>
      </c>
      <c r="C313" s="409"/>
      <c r="D313" s="1217" t="s">
        <v>463</v>
      </c>
      <c r="E313" s="1217" t="s">
        <v>488</v>
      </c>
      <c r="F313" s="1217" t="s">
        <v>178</v>
      </c>
      <c r="G313" s="1662" t="s">
        <v>1</v>
      </c>
      <c r="H313" s="2848"/>
      <c r="I313" s="2849"/>
      <c r="J313" s="2866"/>
      <c r="K313" s="2812"/>
      <c r="L313" s="2812"/>
      <c r="M313" s="2812"/>
      <c r="N313" s="2851"/>
      <c r="O313" s="2812"/>
      <c r="P313" s="2812"/>
      <c r="Q313" s="2812"/>
      <c r="R313" s="2812"/>
      <c r="S313" s="2812"/>
      <c r="T313" s="2812"/>
      <c r="U313" s="2848"/>
    </row>
    <row r="314" spans="1:21" hidden="1" x14ac:dyDescent="0.25">
      <c r="A314" s="1229"/>
      <c r="B314" s="1182" t="s">
        <v>481</v>
      </c>
      <c r="C314" s="1217"/>
      <c r="D314" s="1217" t="s">
        <v>463</v>
      </c>
      <c r="E314" s="1217" t="s">
        <v>488</v>
      </c>
      <c r="F314" s="1217" t="s">
        <v>178</v>
      </c>
      <c r="G314" s="1662" t="s">
        <v>26</v>
      </c>
      <c r="H314" s="2869">
        <f>200.001-75.7-124.301</f>
        <v>0</v>
      </c>
      <c r="I314" s="2849">
        <v>3670.8</v>
      </c>
      <c r="J314" s="2850">
        <v>4037.88</v>
      </c>
      <c r="K314" s="2812">
        <v>7000</v>
      </c>
      <c r="L314" s="2812"/>
      <c r="M314" s="2812"/>
      <c r="N314" s="2851"/>
      <c r="O314" s="2812"/>
      <c r="P314" s="2812"/>
      <c r="Q314" s="2812"/>
      <c r="R314" s="2812"/>
      <c r="S314" s="2812"/>
      <c r="T314" s="2812"/>
      <c r="U314" s="2848"/>
    </row>
    <row r="315" spans="1:21" hidden="1" x14ac:dyDescent="0.25">
      <c r="A315" s="1229"/>
      <c r="B315" s="753" t="s">
        <v>528</v>
      </c>
      <c r="C315" s="1217"/>
      <c r="D315" s="1217" t="s">
        <v>463</v>
      </c>
      <c r="E315" s="1217" t="s">
        <v>488</v>
      </c>
      <c r="F315" s="1217" t="s">
        <v>527</v>
      </c>
      <c r="G315" s="1664"/>
      <c r="H315" s="2848">
        <f>H316</f>
        <v>0</v>
      </c>
      <c r="I315" s="2849">
        <f>I316</f>
        <v>0</v>
      </c>
      <c r="J315" s="2850">
        <f>J316</f>
        <v>0</v>
      </c>
      <c r="K315" s="2812"/>
      <c r="L315" s="2812"/>
      <c r="M315" s="2812"/>
      <c r="N315" s="2851">
        <f>N316</f>
        <v>0</v>
      </c>
      <c r="O315" s="2812"/>
      <c r="P315" s="2812"/>
      <c r="Q315" s="2812"/>
      <c r="R315" s="2812"/>
      <c r="S315" s="2812"/>
      <c r="T315" s="2812"/>
      <c r="U315" s="2848">
        <f>U316</f>
        <v>0</v>
      </c>
    </row>
    <row r="316" spans="1:21" ht="21" hidden="1" x14ac:dyDescent="0.25">
      <c r="A316" s="1229"/>
      <c r="B316" s="1182" t="s">
        <v>454</v>
      </c>
      <c r="C316" s="409"/>
      <c r="D316" s="1217" t="s">
        <v>463</v>
      </c>
      <c r="E316" s="1217" t="s">
        <v>488</v>
      </c>
      <c r="F316" s="1217" t="s">
        <v>178</v>
      </c>
      <c r="G316" s="1662" t="s">
        <v>1</v>
      </c>
      <c r="H316" s="2848"/>
      <c r="I316" s="2849"/>
      <c r="J316" s="2850"/>
      <c r="K316" s="2812"/>
      <c r="L316" s="2812"/>
      <c r="M316" s="2812"/>
      <c r="N316" s="2851"/>
      <c r="O316" s="2812"/>
      <c r="P316" s="2812"/>
      <c r="Q316" s="2812"/>
      <c r="R316" s="2812"/>
      <c r="S316" s="2812"/>
      <c r="T316" s="2812"/>
      <c r="U316" s="2848"/>
    </row>
    <row r="317" spans="1:21" ht="13" x14ac:dyDescent="0.25">
      <c r="A317" s="1229"/>
      <c r="B317" s="2984" t="s">
        <v>1263</v>
      </c>
      <c r="C317" s="409"/>
      <c r="D317" s="1217" t="s">
        <v>463</v>
      </c>
      <c r="E317" s="1217" t="s">
        <v>488</v>
      </c>
      <c r="F317" s="1217" t="s">
        <v>1327</v>
      </c>
      <c r="G317" s="1662"/>
      <c r="H317" s="2848">
        <f>H318</f>
        <v>1367.4835</v>
      </c>
      <c r="I317" s="2849"/>
      <c r="J317" s="2866"/>
      <c r="K317" s="2812"/>
      <c r="L317" s="2812"/>
      <c r="M317" s="2812"/>
      <c r="N317" s="2851">
        <f t="shared" ref="N317:U317" si="78">N318</f>
        <v>1940</v>
      </c>
      <c r="O317" s="2812">
        <f t="shared" si="78"/>
        <v>0</v>
      </c>
      <c r="P317" s="2812">
        <f t="shared" si="78"/>
        <v>0</v>
      </c>
      <c r="Q317" s="2812">
        <f t="shared" si="78"/>
        <v>0</v>
      </c>
      <c r="R317" s="2812">
        <f t="shared" si="78"/>
        <v>0</v>
      </c>
      <c r="S317" s="2812">
        <f t="shared" si="78"/>
        <v>0</v>
      </c>
      <c r="T317" s="2812">
        <f t="shared" si="78"/>
        <v>0</v>
      </c>
      <c r="U317" s="2848">
        <f t="shared" si="78"/>
        <v>970</v>
      </c>
    </row>
    <row r="318" spans="1:21" ht="26" x14ac:dyDescent="0.25">
      <c r="A318" s="1229"/>
      <c r="B318" s="2984" t="s">
        <v>1326</v>
      </c>
      <c r="C318" s="409"/>
      <c r="D318" s="1217" t="s">
        <v>463</v>
      </c>
      <c r="E318" s="1217" t="s">
        <v>488</v>
      </c>
      <c r="F318" s="1217" t="s">
        <v>1325</v>
      </c>
      <c r="G318" s="1662"/>
      <c r="H318" s="2848">
        <f>H322+H319</f>
        <v>1367.4835</v>
      </c>
      <c r="I318" s="2849"/>
      <c r="J318" s="2866"/>
      <c r="K318" s="2812"/>
      <c r="L318" s="2812"/>
      <c r="M318" s="2812"/>
      <c r="N318" s="2851">
        <f>N322</f>
        <v>1940</v>
      </c>
      <c r="O318" s="2812"/>
      <c r="P318" s="2812"/>
      <c r="Q318" s="2812"/>
      <c r="R318" s="2812"/>
      <c r="S318" s="2812"/>
      <c r="T318" s="2812"/>
      <c r="U318" s="2848">
        <f>U322</f>
        <v>970</v>
      </c>
    </row>
    <row r="319" spans="1:21" ht="13" x14ac:dyDescent="0.25">
      <c r="A319" s="1229"/>
      <c r="B319" s="337" t="s">
        <v>1356</v>
      </c>
      <c r="C319" s="409"/>
      <c r="D319" s="1217" t="s">
        <v>463</v>
      </c>
      <c r="E319" s="1217" t="s">
        <v>488</v>
      </c>
      <c r="F319" s="1217" t="s">
        <v>1355</v>
      </c>
      <c r="G319" s="1662"/>
      <c r="H319" s="2848">
        <v>490</v>
      </c>
      <c r="I319" s="2849"/>
      <c r="J319" s="2866"/>
      <c r="K319" s="2812"/>
      <c r="L319" s="2812"/>
      <c r="M319" s="2812"/>
      <c r="N319" s="2851">
        <v>0</v>
      </c>
      <c r="O319" s="2812"/>
      <c r="P319" s="2812"/>
      <c r="Q319" s="2812"/>
      <c r="R319" s="2812"/>
      <c r="S319" s="2812"/>
      <c r="T319" s="2812"/>
      <c r="U319" s="2848">
        <v>0</v>
      </c>
    </row>
    <row r="320" spans="1:21" ht="30" customHeight="1" x14ac:dyDescent="0.25">
      <c r="A320" s="1229"/>
      <c r="B320" s="753" t="s">
        <v>948</v>
      </c>
      <c r="C320" s="409"/>
      <c r="D320" s="1217"/>
      <c r="E320" s="1217"/>
      <c r="F320" s="1217" t="s">
        <v>1355</v>
      </c>
      <c r="G320" s="1664" t="s">
        <v>955</v>
      </c>
      <c r="H320" s="2848">
        <v>490</v>
      </c>
      <c r="I320" s="2849"/>
      <c r="J320" s="2866"/>
      <c r="K320" s="2812"/>
      <c r="L320" s="2812"/>
      <c r="M320" s="2812"/>
      <c r="N320" s="2851"/>
      <c r="O320" s="2812"/>
      <c r="P320" s="2812"/>
      <c r="Q320" s="2812"/>
      <c r="R320" s="2812"/>
      <c r="S320" s="2812"/>
      <c r="T320" s="2812"/>
      <c r="U320" s="2848"/>
    </row>
    <row r="321" spans="1:21" ht="30" customHeight="1" x14ac:dyDescent="0.25">
      <c r="A321" s="1229"/>
      <c r="B321" s="1182" t="s">
        <v>454</v>
      </c>
      <c r="C321" s="409"/>
      <c r="D321" s="1217"/>
      <c r="E321" s="1217"/>
      <c r="F321" s="1217" t="s">
        <v>1355</v>
      </c>
      <c r="G321" s="1662" t="s">
        <v>1</v>
      </c>
      <c r="H321" s="2848">
        <v>490</v>
      </c>
      <c r="I321" s="2849"/>
      <c r="J321" s="2866"/>
      <c r="K321" s="2812"/>
      <c r="L321" s="2812"/>
      <c r="M321" s="2812"/>
      <c r="N321" s="2851"/>
      <c r="O321" s="2812"/>
      <c r="P321" s="2812"/>
      <c r="Q321" s="2812"/>
      <c r="R321" s="2812"/>
      <c r="S321" s="2812"/>
      <c r="T321" s="2812"/>
      <c r="U321" s="2848"/>
    </row>
    <row r="322" spans="1:21" ht="21" customHeight="1" x14ac:dyDescent="0.25">
      <c r="A322" s="1229"/>
      <c r="B322" s="1868" t="s">
        <v>1244</v>
      </c>
      <c r="C322" s="409"/>
      <c r="D322" s="1217" t="s">
        <v>463</v>
      </c>
      <c r="E322" s="1217" t="s">
        <v>488</v>
      </c>
      <c r="F322" s="1231" t="s">
        <v>1324</v>
      </c>
      <c r="G322" s="1662"/>
      <c r="H322" s="2848">
        <f>H326+H324</f>
        <v>877.48350000000005</v>
      </c>
      <c r="I322" s="2849"/>
      <c r="J322" s="2866"/>
      <c r="K322" s="2812"/>
      <c r="L322" s="2812"/>
      <c r="M322" s="2812"/>
      <c r="N322" s="2851">
        <f>N326+N324</f>
        <v>1940</v>
      </c>
      <c r="O322" s="2812"/>
      <c r="P322" s="2812"/>
      <c r="Q322" s="2812"/>
      <c r="R322" s="2812"/>
      <c r="S322" s="2812"/>
      <c r="T322" s="2812"/>
      <c r="U322" s="2848">
        <f>U326+U324</f>
        <v>970</v>
      </c>
    </row>
    <row r="323" spans="1:21" ht="21" hidden="1" customHeight="1" x14ac:dyDescent="0.25">
      <c r="A323" s="1229"/>
      <c r="B323" s="1242" t="s">
        <v>948</v>
      </c>
      <c r="C323" s="409"/>
      <c r="D323" s="1217" t="s">
        <v>463</v>
      </c>
      <c r="E323" s="1217" t="s">
        <v>488</v>
      </c>
      <c r="F323" s="1231" t="s">
        <v>1012</v>
      </c>
      <c r="G323" s="1662" t="s">
        <v>955</v>
      </c>
      <c r="H323" s="2848">
        <f t="shared" ref="H323:U323" si="79">H324</f>
        <v>0</v>
      </c>
      <c r="I323" s="2849">
        <f t="shared" si="79"/>
        <v>0</v>
      </c>
      <c r="J323" s="2866">
        <f t="shared" si="79"/>
        <v>0</v>
      </c>
      <c r="K323" s="2812">
        <f t="shared" si="79"/>
        <v>0</v>
      </c>
      <c r="L323" s="2812">
        <f t="shared" si="79"/>
        <v>0</v>
      </c>
      <c r="M323" s="2812">
        <f t="shared" si="79"/>
        <v>0</v>
      </c>
      <c r="N323" s="2851">
        <f t="shared" si="79"/>
        <v>0</v>
      </c>
      <c r="O323" s="2812">
        <f t="shared" si="79"/>
        <v>0</v>
      </c>
      <c r="P323" s="2812">
        <f t="shared" si="79"/>
        <v>0</v>
      </c>
      <c r="Q323" s="2812">
        <f t="shared" si="79"/>
        <v>0</v>
      </c>
      <c r="R323" s="2812">
        <f t="shared" si="79"/>
        <v>0</v>
      </c>
      <c r="S323" s="2812">
        <f t="shared" si="79"/>
        <v>0</v>
      </c>
      <c r="T323" s="2812">
        <f t="shared" si="79"/>
        <v>0</v>
      </c>
      <c r="U323" s="2848">
        <f t="shared" si="79"/>
        <v>0</v>
      </c>
    </row>
    <row r="324" spans="1:21" ht="21" hidden="1" customHeight="1" x14ac:dyDescent="0.25">
      <c r="A324" s="1229"/>
      <c r="B324" s="1242" t="s">
        <v>454</v>
      </c>
      <c r="C324" s="409"/>
      <c r="D324" s="1217" t="s">
        <v>463</v>
      </c>
      <c r="E324" s="1217" t="s">
        <v>488</v>
      </c>
      <c r="F324" s="1231" t="s">
        <v>1012</v>
      </c>
      <c r="G324" s="1662" t="s">
        <v>1</v>
      </c>
      <c r="H324" s="2848">
        <v>0</v>
      </c>
      <c r="I324" s="2849"/>
      <c r="J324" s="2866"/>
      <c r="K324" s="2812"/>
      <c r="L324" s="2812"/>
      <c r="M324" s="2812"/>
      <c r="N324" s="2851">
        <v>0</v>
      </c>
      <c r="O324" s="2812"/>
      <c r="P324" s="2812"/>
      <c r="Q324" s="2812"/>
      <c r="R324" s="2812"/>
      <c r="S324" s="2812"/>
      <c r="T324" s="2812"/>
      <c r="U324" s="2848">
        <v>0</v>
      </c>
    </row>
    <row r="325" spans="1:21" ht="21" customHeight="1" x14ac:dyDescent="0.25">
      <c r="A325" s="1229"/>
      <c r="B325" s="1242" t="s">
        <v>1068</v>
      </c>
      <c r="C325" s="409"/>
      <c r="D325" s="1217" t="s">
        <v>463</v>
      </c>
      <c r="E325" s="1217" t="s">
        <v>488</v>
      </c>
      <c r="F325" s="1231" t="s">
        <v>1324</v>
      </c>
      <c r="G325" s="1662" t="s">
        <v>1064</v>
      </c>
      <c r="H325" s="2848">
        <f t="shared" ref="H325:U325" si="80">H326</f>
        <v>877.48350000000005</v>
      </c>
      <c r="I325" s="2849">
        <f t="shared" si="80"/>
        <v>0</v>
      </c>
      <c r="J325" s="2866">
        <f t="shared" si="80"/>
        <v>0</v>
      </c>
      <c r="K325" s="2812">
        <f t="shared" si="80"/>
        <v>0</v>
      </c>
      <c r="L325" s="2812">
        <f t="shared" si="80"/>
        <v>0</v>
      </c>
      <c r="M325" s="2812">
        <f t="shared" si="80"/>
        <v>0</v>
      </c>
      <c r="N325" s="2851">
        <f t="shared" si="80"/>
        <v>1940</v>
      </c>
      <c r="O325" s="2812">
        <f t="shared" si="80"/>
        <v>0</v>
      </c>
      <c r="P325" s="2812">
        <f t="shared" si="80"/>
        <v>0</v>
      </c>
      <c r="Q325" s="2812">
        <f t="shared" si="80"/>
        <v>0</v>
      </c>
      <c r="R325" s="2812">
        <f t="shared" si="80"/>
        <v>0</v>
      </c>
      <c r="S325" s="2812">
        <f t="shared" si="80"/>
        <v>0</v>
      </c>
      <c r="T325" s="2812">
        <f t="shared" si="80"/>
        <v>0</v>
      </c>
      <c r="U325" s="2848">
        <f t="shared" si="80"/>
        <v>970</v>
      </c>
    </row>
    <row r="326" spans="1:21" ht="21" x14ac:dyDescent="0.25">
      <c r="A326" s="1229"/>
      <c r="B326" s="1242" t="s">
        <v>523</v>
      </c>
      <c r="C326" s="409"/>
      <c r="D326" s="1217" t="s">
        <v>463</v>
      </c>
      <c r="E326" s="1217" t="s">
        <v>488</v>
      </c>
      <c r="F326" s="1231" t="s">
        <v>1324</v>
      </c>
      <c r="G326" s="1662" t="s">
        <v>521</v>
      </c>
      <c r="H326" s="2848">
        <f>490+877.4835-490</f>
        <v>877.48350000000005</v>
      </c>
      <c r="I326" s="2849"/>
      <c r="J326" s="2866"/>
      <c r="K326" s="2812"/>
      <c r="L326" s="2812"/>
      <c r="M326" s="2812"/>
      <c r="N326" s="2851">
        <f>540+1400</f>
        <v>1940</v>
      </c>
      <c r="O326" s="2812"/>
      <c r="P326" s="2812"/>
      <c r="Q326" s="2812"/>
      <c r="R326" s="2812"/>
      <c r="S326" s="2812"/>
      <c r="T326" s="2812"/>
      <c r="U326" s="2848">
        <f>570+400</f>
        <v>970</v>
      </c>
    </row>
    <row r="327" spans="1:21" ht="27.75" hidden="1" customHeight="1" x14ac:dyDescent="0.25">
      <c r="A327" s="1240"/>
      <c r="B327" s="1197" t="s">
        <v>1162</v>
      </c>
      <c r="C327" s="1217"/>
      <c r="D327" s="1217" t="s">
        <v>463</v>
      </c>
      <c r="E327" s="1217" t="s">
        <v>488</v>
      </c>
      <c r="F327" s="1217" t="s">
        <v>1160</v>
      </c>
      <c r="G327" s="1664"/>
      <c r="H327" s="2848">
        <f>H328</f>
        <v>0</v>
      </c>
      <c r="I327" s="2849">
        <f>I328</f>
        <v>0</v>
      </c>
      <c r="J327" s="2865">
        <f>J328</f>
        <v>0</v>
      </c>
      <c r="K327" s="2812"/>
      <c r="L327" s="2812"/>
      <c r="M327" s="2812"/>
      <c r="N327" s="2851">
        <f>N328</f>
        <v>0</v>
      </c>
      <c r="O327" s="2812"/>
      <c r="P327" s="2812"/>
      <c r="Q327" s="2812"/>
      <c r="R327" s="2812"/>
      <c r="S327" s="2812"/>
      <c r="T327" s="2812"/>
      <c r="U327" s="2848">
        <f>U328</f>
        <v>0</v>
      </c>
    </row>
    <row r="328" spans="1:21" ht="21" hidden="1" x14ac:dyDescent="0.25">
      <c r="A328" s="1240"/>
      <c r="B328" s="1180" t="s">
        <v>1163</v>
      </c>
      <c r="C328" s="1217"/>
      <c r="D328" s="1217" t="s">
        <v>463</v>
      </c>
      <c r="E328" s="1217" t="s">
        <v>488</v>
      </c>
      <c r="F328" s="1231" t="s">
        <v>1161</v>
      </c>
      <c r="G328" s="1664"/>
      <c r="H328" s="2848">
        <f>H329</f>
        <v>0</v>
      </c>
      <c r="I328" s="2849">
        <f t="shared" ref="I328:J330" si="81">I329</f>
        <v>0</v>
      </c>
      <c r="J328" s="2865">
        <f t="shared" si="81"/>
        <v>0</v>
      </c>
      <c r="K328" s="2812"/>
      <c r="L328" s="2812"/>
      <c r="M328" s="2812"/>
      <c r="N328" s="2851">
        <f>N329</f>
        <v>0</v>
      </c>
      <c r="O328" s="2812"/>
      <c r="P328" s="2812"/>
      <c r="Q328" s="2812"/>
      <c r="R328" s="2812"/>
      <c r="S328" s="2812"/>
      <c r="T328" s="2812"/>
      <c r="U328" s="2848">
        <f>U329</f>
        <v>0</v>
      </c>
    </row>
    <row r="329" spans="1:21" hidden="1" x14ac:dyDescent="0.25">
      <c r="A329" s="1229"/>
      <c r="B329" s="753" t="s">
        <v>1068</v>
      </c>
      <c r="C329" s="1217"/>
      <c r="D329" s="1217" t="s">
        <v>463</v>
      </c>
      <c r="E329" s="1217" t="s">
        <v>488</v>
      </c>
      <c r="F329" s="1231" t="s">
        <v>1161</v>
      </c>
      <c r="G329" s="1664" t="s">
        <v>1064</v>
      </c>
      <c r="H329" s="2848">
        <f>H330</f>
        <v>0</v>
      </c>
      <c r="I329" s="2849">
        <f t="shared" si="81"/>
        <v>0</v>
      </c>
      <c r="J329" s="2865">
        <f t="shared" si="81"/>
        <v>0</v>
      </c>
      <c r="K329" s="2812"/>
      <c r="L329" s="2812"/>
      <c r="M329" s="2812"/>
      <c r="N329" s="2851">
        <f>N330</f>
        <v>0</v>
      </c>
      <c r="O329" s="2812"/>
      <c r="P329" s="2812"/>
      <c r="Q329" s="2812"/>
      <c r="R329" s="2812"/>
      <c r="S329" s="2812"/>
      <c r="T329" s="2812"/>
      <c r="U329" s="2848">
        <f>U330</f>
        <v>0</v>
      </c>
    </row>
    <row r="330" spans="1:21" ht="21" hidden="1" x14ac:dyDescent="0.25">
      <c r="A330" s="1234"/>
      <c r="B330" s="1242" t="s">
        <v>523</v>
      </c>
      <c r="C330" s="409"/>
      <c r="D330" s="1217" t="s">
        <v>463</v>
      </c>
      <c r="E330" s="1217" t="s">
        <v>488</v>
      </c>
      <c r="F330" s="1231" t="s">
        <v>1161</v>
      </c>
      <c r="G330" s="1664" t="s">
        <v>521</v>
      </c>
      <c r="H330" s="2848">
        <v>0</v>
      </c>
      <c r="I330" s="2849">
        <f t="shared" si="81"/>
        <v>0</v>
      </c>
      <c r="J330" s="2865">
        <f t="shared" si="81"/>
        <v>0</v>
      </c>
      <c r="K330" s="2812"/>
      <c r="L330" s="2812"/>
      <c r="M330" s="2812"/>
      <c r="N330" s="2851">
        <v>0</v>
      </c>
      <c r="O330" s="2812"/>
      <c r="P330" s="2812"/>
      <c r="Q330" s="2812"/>
      <c r="R330" s="2812"/>
      <c r="S330" s="2812"/>
      <c r="T330" s="2812"/>
      <c r="U330" s="2848">
        <v>0</v>
      </c>
    </row>
    <row r="331" spans="1:21" hidden="1" x14ac:dyDescent="0.25">
      <c r="A331" s="1234"/>
      <c r="B331" s="1242" t="s">
        <v>481</v>
      </c>
      <c r="C331" s="1217"/>
      <c r="D331" s="1217" t="s">
        <v>463</v>
      </c>
      <c r="E331" s="1217" t="s">
        <v>488</v>
      </c>
      <c r="F331" s="409" t="s">
        <v>524</v>
      </c>
      <c r="G331" s="1662" t="s">
        <v>26</v>
      </c>
      <c r="H331" s="2848">
        <f>4900-4900</f>
        <v>0</v>
      </c>
      <c r="I331" s="2849"/>
      <c r="J331" s="2850"/>
      <c r="K331" s="2812"/>
      <c r="L331" s="2812"/>
      <c r="M331" s="2812"/>
      <c r="N331" s="2851"/>
      <c r="O331" s="2812"/>
      <c r="P331" s="2812"/>
      <c r="Q331" s="2812"/>
      <c r="R331" s="2812"/>
      <c r="S331" s="2812"/>
      <c r="T331" s="2812"/>
      <c r="U331" s="2848"/>
    </row>
    <row r="332" spans="1:21" ht="21" hidden="1" x14ac:dyDescent="0.25">
      <c r="A332" s="1234"/>
      <c r="B332" s="1242" t="s">
        <v>929</v>
      </c>
      <c r="C332" s="409"/>
      <c r="D332" s="1217" t="s">
        <v>463</v>
      </c>
      <c r="E332" s="1217" t="s">
        <v>488</v>
      </c>
      <c r="F332" s="1217" t="s">
        <v>89</v>
      </c>
      <c r="G332" s="1662"/>
      <c r="H332" s="2848">
        <f>H333</f>
        <v>0</v>
      </c>
      <c r="I332" s="2849"/>
      <c r="J332" s="2850"/>
      <c r="K332" s="2812"/>
      <c r="L332" s="2812"/>
      <c r="M332" s="2812"/>
      <c r="N332" s="2851"/>
      <c r="O332" s="2812"/>
      <c r="P332" s="2812"/>
      <c r="Q332" s="2812"/>
      <c r="R332" s="2812"/>
      <c r="S332" s="2812"/>
      <c r="T332" s="2812"/>
      <c r="U332" s="2848"/>
    </row>
    <row r="333" spans="1:21" hidden="1" x14ac:dyDescent="0.25">
      <c r="A333" s="1234"/>
      <c r="B333" s="1242" t="s">
        <v>109</v>
      </c>
      <c r="C333" s="409"/>
      <c r="D333" s="1217" t="s">
        <v>463</v>
      </c>
      <c r="E333" s="1217" t="s">
        <v>488</v>
      </c>
      <c r="F333" s="1217" t="s">
        <v>84</v>
      </c>
      <c r="G333" s="1662"/>
      <c r="H333" s="2848">
        <f>H334</f>
        <v>0</v>
      </c>
      <c r="I333" s="2849"/>
      <c r="J333" s="2850"/>
      <c r="K333" s="2812"/>
      <c r="L333" s="2812"/>
      <c r="M333" s="2812"/>
      <c r="N333" s="2851"/>
      <c r="O333" s="2812"/>
      <c r="P333" s="2812"/>
      <c r="Q333" s="2812"/>
      <c r="R333" s="2812"/>
      <c r="S333" s="2812"/>
      <c r="T333" s="2812"/>
      <c r="U333" s="2848"/>
    </row>
    <row r="334" spans="1:21" hidden="1" x14ac:dyDescent="0.25">
      <c r="A334" s="1234"/>
      <c r="B334" s="1242" t="s">
        <v>109</v>
      </c>
      <c r="C334" s="409"/>
      <c r="D334" s="1217" t="s">
        <v>463</v>
      </c>
      <c r="E334" s="1217" t="s">
        <v>488</v>
      </c>
      <c r="F334" s="1217" t="s">
        <v>82</v>
      </c>
      <c r="G334" s="1662"/>
      <c r="H334" s="2848">
        <f>H336+H344</f>
        <v>0</v>
      </c>
      <c r="I334" s="2849"/>
      <c r="J334" s="2850"/>
      <c r="K334" s="2812"/>
      <c r="L334" s="2812"/>
      <c r="M334" s="2812"/>
      <c r="N334" s="2851"/>
      <c r="O334" s="2812"/>
      <c r="P334" s="2812"/>
      <c r="Q334" s="2812"/>
      <c r="R334" s="2812"/>
      <c r="S334" s="2812"/>
      <c r="T334" s="2812"/>
      <c r="U334" s="2848"/>
    </row>
    <row r="335" spans="1:21" ht="34.5" hidden="1" customHeight="1" x14ac:dyDescent="0.25">
      <c r="A335" s="1234"/>
      <c r="B335" s="1242" t="s">
        <v>922</v>
      </c>
      <c r="C335" s="409"/>
      <c r="D335" s="1217" t="s">
        <v>463</v>
      </c>
      <c r="E335" s="1217" t="s">
        <v>488</v>
      </c>
      <c r="F335" s="1217" t="s">
        <v>923</v>
      </c>
      <c r="G335" s="1662"/>
      <c r="H335" s="2848">
        <f>H336</f>
        <v>0</v>
      </c>
      <c r="I335" s="2849"/>
      <c r="J335" s="2850"/>
      <c r="K335" s="2812"/>
      <c r="L335" s="2812"/>
      <c r="M335" s="2812"/>
      <c r="N335" s="2851"/>
      <c r="O335" s="2812"/>
      <c r="P335" s="2812"/>
      <c r="Q335" s="2812"/>
      <c r="R335" s="2812"/>
      <c r="S335" s="2812"/>
      <c r="T335" s="2812"/>
      <c r="U335" s="2848"/>
    </row>
    <row r="336" spans="1:21" ht="21" hidden="1" x14ac:dyDescent="0.25">
      <c r="A336" s="1234"/>
      <c r="B336" s="1242" t="s">
        <v>523</v>
      </c>
      <c r="C336" s="409"/>
      <c r="D336" s="1217" t="s">
        <v>463</v>
      </c>
      <c r="E336" s="1217" t="s">
        <v>488</v>
      </c>
      <c r="F336" s="1217" t="s">
        <v>923</v>
      </c>
      <c r="G336" s="1662" t="s">
        <v>521</v>
      </c>
      <c r="H336" s="2848"/>
      <c r="I336" s="2849"/>
      <c r="J336" s="2850"/>
      <c r="K336" s="2812"/>
      <c r="L336" s="2812"/>
      <c r="M336" s="2812"/>
      <c r="N336" s="2851"/>
      <c r="O336" s="2812"/>
      <c r="P336" s="2812"/>
      <c r="Q336" s="2812"/>
      <c r="R336" s="2812"/>
      <c r="S336" s="2812"/>
      <c r="T336" s="2812"/>
      <c r="U336" s="2848"/>
    </row>
    <row r="337" spans="1:21" ht="24.75" hidden="1" customHeight="1" x14ac:dyDescent="0.25">
      <c r="A337" s="1234"/>
      <c r="B337" s="1242" t="s">
        <v>930</v>
      </c>
      <c r="C337" s="409"/>
      <c r="D337" s="1217" t="s">
        <v>463</v>
      </c>
      <c r="E337" s="1217" t="s">
        <v>488</v>
      </c>
      <c r="F337" s="1217" t="s">
        <v>925</v>
      </c>
      <c r="G337" s="1662"/>
      <c r="H337" s="2848"/>
      <c r="I337" s="2849"/>
      <c r="J337" s="2866"/>
      <c r="K337" s="2812"/>
      <c r="L337" s="2812"/>
      <c r="M337" s="2812"/>
      <c r="N337" s="2851"/>
      <c r="O337" s="2812"/>
      <c r="P337" s="2812"/>
      <c r="Q337" s="2812"/>
      <c r="R337" s="2812"/>
      <c r="S337" s="2812"/>
      <c r="T337" s="2812"/>
      <c r="U337" s="2848"/>
    </row>
    <row r="338" spans="1:21" hidden="1" x14ac:dyDescent="0.25">
      <c r="A338" s="1234"/>
      <c r="B338" s="1242" t="s">
        <v>109</v>
      </c>
      <c r="C338" s="409"/>
      <c r="D338" s="1217" t="s">
        <v>463</v>
      </c>
      <c r="E338" s="1217" t="s">
        <v>488</v>
      </c>
      <c r="F338" s="1217" t="s">
        <v>925</v>
      </c>
      <c r="G338" s="1662"/>
      <c r="H338" s="2848"/>
      <c r="I338" s="2849"/>
      <c r="J338" s="2866"/>
      <c r="K338" s="2812"/>
      <c r="L338" s="2812"/>
      <c r="M338" s="2812"/>
      <c r="N338" s="2851"/>
      <c r="O338" s="2812"/>
      <c r="P338" s="2812"/>
      <c r="Q338" s="2812"/>
      <c r="R338" s="2812"/>
      <c r="S338" s="2812"/>
      <c r="T338" s="2812"/>
      <c r="U338" s="2848"/>
    </row>
    <row r="339" spans="1:21" hidden="1" x14ac:dyDescent="0.25">
      <c r="A339" s="1234"/>
      <c r="B339" s="1242" t="s">
        <v>109</v>
      </c>
      <c r="C339" s="409"/>
      <c r="D339" s="1217" t="s">
        <v>463</v>
      </c>
      <c r="E339" s="1217" t="s">
        <v>488</v>
      </c>
      <c r="F339" s="1217" t="s">
        <v>925</v>
      </c>
      <c r="G339" s="1662"/>
      <c r="H339" s="2848"/>
      <c r="I339" s="2849"/>
      <c r="J339" s="2866"/>
      <c r="K339" s="2812"/>
      <c r="L339" s="2812"/>
      <c r="M339" s="2812"/>
      <c r="N339" s="2851"/>
      <c r="O339" s="2812"/>
      <c r="P339" s="2812"/>
      <c r="Q339" s="2812"/>
      <c r="R339" s="2812"/>
      <c r="S339" s="2812"/>
      <c r="T339" s="2812"/>
      <c r="U339" s="2848"/>
    </row>
    <row r="340" spans="1:21" ht="21" hidden="1" x14ac:dyDescent="0.25">
      <c r="A340" s="1234"/>
      <c r="B340" s="1242" t="s">
        <v>499</v>
      </c>
      <c r="C340" s="409"/>
      <c r="D340" s="1217" t="s">
        <v>463</v>
      </c>
      <c r="E340" s="1217" t="s">
        <v>488</v>
      </c>
      <c r="F340" s="409" t="s">
        <v>89</v>
      </c>
      <c r="G340" s="1662"/>
      <c r="H340" s="2848">
        <f>H341</f>
        <v>0</v>
      </c>
      <c r="I340" s="2849"/>
      <c r="J340" s="2866"/>
      <c r="K340" s="2812"/>
      <c r="L340" s="2812"/>
      <c r="M340" s="2812"/>
      <c r="N340" s="2851">
        <f>N341</f>
        <v>0</v>
      </c>
      <c r="O340" s="2812"/>
      <c r="P340" s="2812"/>
      <c r="Q340" s="2812"/>
      <c r="R340" s="2812"/>
      <c r="S340" s="2812"/>
      <c r="T340" s="2812"/>
      <c r="U340" s="2848">
        <f>U341</f>
        <v>0</v>
      </c>
    </row>
    <row r="341" spans="1:21" hidden="1" x14ac:dyDescent="0.25">
      <c r="A341" s="1234"/>
      <c r="B341" s="1242" t="s">
        <v>109</v>
      </c>
      <c r="C341" s="409"/>
      <c r="D341" s="1217" t="s">
        <v>463</v>
      </c>
      <c r="E341" s="1217" t="s">
        <v>488</v>
      </c>
      <c r="F341" s="409" t="s">
        <v>84</v>
      </c>
      <c r="G341" s="1662"/>
      <c r="H341" s="2848">
        <f>H345</f>
        <v>0</v>
      </c>
      <c r="I341" s="2849"/>
      <c r="J341" s="2866"/>
      <c r="K341" s="2812"/>
      <c r="L341" s="2812"/>
      <c r="M341" s="2812"/>
      <c r="N341" s="2851">
        <f>N345</f>
        <v>0</v>
      </c>
      <c r="O341" s="2812"/>
      <c r="P341" s="2812"/>
      <c r="Q341" s="2812"/>
      <c r="R341" s="2812"/>
      <c r="S341" s="2812"/>
      <c r="T341" s="2812"/>
      <c r="U341" s="2848">
        <f>U345</f>
        <v>0</v>
      </c>
    </row>
    <row r="342" spans="1:21" hidden="1" x14ac:dyDescent="0.25">
      <c r="A342" s="1234"/>
      <c r="B342" s="1242" t="s">
        <v>109</v>
      </c>
      <c r="C342" s="409"/>
      <c r="D342" s="1217" t="s">
        <v>463</v>
      </c>
      <c r="E342" s="1217" t="s">
        <v>488</v>
      </c>
      <c r="F342" s="1217" t="s">
        <v>82</v>
      </c>
      <c r="G342" s="1662"/>
      <c r="H342" s="2848">
        <f>H343</f>
        <v>0</v>
      </c>
      <c r="I342" s="2849"/>
      <c r="J342" s="2866"/>
      <c r="K342" s="2812"/>
      <c r="L342" s="2812"/>
      <c r="M342" s="2812"/>
      <c r="N342" s="2851"/>
      <c r="O342" s="2812"/>
      <c r="P342" s="2812"/>
      <c r="Q342" s="2812"/>
      <c r="R342" s="2812"/>
      <c r="S342" s="2812"/>
      <c r="T342" s="2812"/>
      <c r="U342" s="2848"/>
    </row>
    <row r="343" spans="1:21" ht="21" hidden="1" x14ac:dyDescent="0.25">
      <c r="A343" s="1234"/>
      <c r="B343" s="1242" t="s">
        <v>930</v>
      </c>
      <c r="C343" s="409"/>
      <c r="D343" s="1217" t="s">
        <v>463</v>
      </c>
      <c r="E343" s="1217" t="s">
        <v>488</v>
      </c>
      <c r="F343" s="1217" t="s">
        <v>925</v>
      </c>
      <c r="G343" s="1662"/>
      <c r="H343" s="2848">
        <f>H344</f>
        <v>0</v>
      </c>
      <c r="I343" s="2849"/>
      <c r="J343" s="2866"/>
      <c r="K343" s="2812"/>
      <c r="L343" s="2812"/>
      <c r="M343" s="2812"/>
      <c r="N343" s="2851">
        <f>N344</f>
        <v>0</v>
      </c>
      <c r="O343" s="2812"/>
      <c r="P343" s="2812"/>
      <c r="Q343" s="2812"/>
      <c r="R343" s="2812"/>
      <c r="S343" s="2812"/>
      <c r="T343" s="2812"/>
      <c r="U343" s="2848">
        <f>U344</f>
        <v>0</v>
      </c>
    </row>
    <row r="344" spans="1:21" ht="21" hidden="1" x14ac:dyDescent="0.25">
      <c r="A344" s="1234"/>
      <c r="B344" s="1242" t="s">
        <v>523</v>
      </c>
      <c r="C344" s="409"/>
      <c r="D344" s="1217" t="s">
        <v>463</v>
      </c>
      <c r="E344" s="1217" t="s">
        <v>488</v>
      </c>
      <c r="F344" s="1217" t="s">
        <v>925</v>
      </c>
      <c r="G344" s="1662" t="s">
        <v>521</v>
      </c>
      <c r="H344" s="2848"/>
      <c r="I344" s="2849"/>
      <c r="J344" s="2866"/>
      <c r="K344" s="2812"/>
      <c r="L344" s="2812"/>
      <c r="M344" s="2812"/>
      <c r="N344" s="2851"/>
      <c r="O344" s="2812"/>
      <c r="P344" s="2812"/>
      <c r="Q344" s="2812"/>
      <c r="R344" s="2812"/>
      <c r="S344" s="2812"/>
      <c r="T344" s="2812"/>
      <c r="U344" s="2848"/>
    </row>
    <row r="345" spans="1:21" hidden="1" x14ac:dyDescent="0.25">
      <c r="A345" s="1234"/>
      <c r="B345" s="1242" t="s">
        <v>109</v>
      </c>
      <c r="C345" s="409"/>
      <c r="D345" s="1217" t="s">
        <v>463</v>
      </c>
      <c r="E345" s="1217" t="s">
        <v>488</v>
      </c>
      <c r="F345" s="1217" t="s">
        <v>82</v>
      </c>
      <c r="G345" s="1662"/>
      <c r="H345" s="2848">
        <f>H348+H351+H353</f>
        <v>0</v>
      </c>
      <c r="I345" s="2849"/>
      <c r="J345" s="2866"/>
      <c r="K345" s="2812"/>
      <c r="L345" s="2812"/>
      <c r="M345" s="2812"/>
      <c r="N345" s="2851">
        <f>N348+N351</f>
        <v>0</v>
      </c>
      <c r="O345" s="2812"/>
      <c r="P345" s="2812"/>
      <c r="Q345" s="2812"/>
      <c r="R345" s="2812"/>
      <c r="S345" s="2812"/>
      <c r="T345" s="2812"/>
      <c r="U345" s="2848">
        <f>U348+U351</f>
        <v>0</v>
      </c>
    </row>
    <row r="346" spans="1:21" ht="21.65" hidden="1" customHeight="1" x14ac:dyDescent="0.25">
      <c r="A346" s="1234"/>
      <c r="B346" s="1242" t="s">
        <v>1190</v>
      </c>
      <c r="C346" s="409"/>
      <c r="D346" s="1217" t="s">
        <v>463</v>
      </c>
      <c r="E346" s="1217" t="s">
        <v>488</v>
      </c>
      <c r="F346" s="1217" t="s">
        <v>1180</v>
      </c>
      <c r="G346" s="1662"/>
      <c r="H346" s="2848">
        <f>H347</f>
        <v>0</v>
      </c>
      <c r="I346" s="2849"/>
      <c r="J346" s="2866"/>
      <c r="K346" s="2812"/>
      <c r="L346" s="2812"/>
      <c r="M346" s="2812"/>
      <c r="N346" s="2851">
        <v>0</v>
      </c>
      <c r="O346" s="2812"/>
      <c r="P346" s="2812"/>
      <c r="Q346" s="2812"/>
      <c r="R346" s="2812"/>
      <c r="S346" s="2812"/>
      <c r="T346" s="2812"/>
      <c r="U346" s="2848">
        <v>0</v>
      </c>
    </row>
    <row r="347" spans="1:21" hidden="1" x14ac:dyDescent="0.25">
      <c r="A347" s="1234"/>
      <c r="B347" s="753" t="s">
        <v>948</v>
      </c>
      <c r="C347" s="409"/>
      <c r="D347" s="1217" t="s">
        <v>463</v>
      </c>
      <c r="E347" s="1217" t="s">
        <v>488</v>
      </c>
      <c r="F347" s="1217" t="s">
        <v>1180</v>
      </c>
      <c r="G347" s="1664" t="s">
        <v>955</v>
      </c>
      <c r="H347" s="2848">
        <f>H348</f>
        <v>0</v>
      </c>
      <c r="I347" s="2849"/>
      <c r="J347" s="2866"/>
      <c r="K347" s="2812"/>
      <c r="L347" s="2812"/>
      <c r="M347" s="2812"/>
      <c r="N347" s="2851">
        <v>0</v>
      </c>
      <c r="O347" s="2812"/>
      <c r="P347" s="2812"/>
      <c r="Q347" s="2812"/>
      <c r="R347" s="2812"/>
      <c r="S347" s="2812"/>
      <c r="T347" s="2812"/>
      <c r="U347" s="2848">
        <v>0</v>
      </c>
    </row>
    <row r="348" spans="1:21" hidden="1" x14ac:dyDescent="0.25">
      <c r="A348" s="1234"/>
      <c r="B348" s="1242" t="s">
        <v>454</v>
      </c>
      <c r="C348" s="409"/>
      <c r="D348" s="1217" t="s">
        <v>463</v>
      </c>
      <c r="E348" s="1217" t="s">
        <v>488</v>
      </c>
      <c r="F348" s="1217" t="s">
        <v>1180</v>
      </c>
      <c r="G348" s="1664" t="s">
        <v>1</v>
      </c>
      <c r="H348" s="2848">
        <v>0</v>
      </c>
      <c r="I348" s="2849"/>
      <c r="J348" s="2866"/>
      <c r="K348" s="2812"/>
      <c r="L348" s="2812"/>
      <c r="M348" s="2812"/>
      <c r="N348" s="2851">
        <v>0</v>
      </c>
      <c r="O348" s="2812"/>
      <c r="P348" s="2812"/>
      <c r="Q348" s="2812"/>
      <c r="R348" s="2812"/>
      <c r="S348" s="2812"/>
      <c r="T348" s="2812"/>
      <c r="U348" s="2848">
        <v>0</v>
      </c>
    </row>
    <row r="349" spans="1:21" ht="21" hidden="1" x14ac:dyDescent="0.25">
      <c r="A349" s="1234"/>
      <c r="B349" s="1242" t="s">
        <v>1193</v>
      </c>
      <c r="C349" s="409"/>
      <c r="D349" s="1217" t="s">
        <v>463</v>
      </c>
      <c r="E349" s="1217" t="s">
        <v>488</v>
      </c>
      <c r="F349" s="1217" t="s">
        <v>1192</v>
      </c>
      <c r="G349" s="1664"/>
      <c r="H349" s="2848">
        <f>H350+H353</f>
        <v>0</v>
      </c>
      <c r="I349" s="2849"/>
      <c r="J349" s="2866"/>
      <c r="K349" s="2812"/>
      <c r="L349" s="2812"/>
      <c r="M349" s="2812"/>
      <c r="N349" s="2851">
        <f>N350+N353</f>
        <v>0</v>
      </c>
      <c r="O349" s="2812"/>
      <c r="P349" s="2812"/>
      <c r="Q349" s="2812"/>
      <c r="R349" s="2812"/>
      <c r="S349" s="2812"/>
      <c r="T349" s="2812"/>
      <c r="U349" s="2848">
        <f>U350+U353</f>
        <v>0</v>
      </c>
    </row>
    <row r="350" spans="1:21" hidden="1" x14ac:dyDescent="0.25">
      <c r="A350" s="1234"/>
      <c r="B350" s="1242" t="s">
        <v>948</v>
      </c>
      <c r="C350" s="409"/>
      <c r="D350" s="1217" t="s">
        <v>463</v>
      </c>
      <c r="E350" s="1217" t="s">
        <v>488</v>
      </c>
      <c r="F350" s="1217" t="s">
        <v>1192</v>
      </c>
      <c r="G350" s="1664" t="s">
        <v>955</v>
      </c>
      <c r="H350" s="2848">
        <f>H351</f>
        <v>0</v>
      </c>
      <c r="I350" s="2849"/>
      <c r="J350" s="2866"/>
      <c r="K350" s="2812"/>
      <c r="L350" s="2812"/>
      <c r="M350" s="2812"/>
      <c r="N350" s="2851">
        <f>N351</f>
        <v>0</v>
      </c>
      <c r="O350" s="2812"/>
      <c r="P350" s="2812"/>
      <c r="Q350" s="2812"/>
      <c r="R350" s="2812"/>
      <c r="S350" s="2812"/>
      <c r="T350" s="2812"/>
      <c r="U350" s="2848">
        <f>U351</f>
        <v>0</v>
      </c>
    </row>
    <row r="351" spans="1:21" hidden="1" x14ac:dyDescent="0.25">
      <c r="A351" s="1234"/>
      <c r="B351" s="1242" t="s">
        <v>454</v>
      </c>
      <c r="C351" s="409"/>
      <c r="D351" s="1217" t="s">
        <v>463</v>
      </c>
      <c r="E351" s="1217" t="s">
        <v>488</v>
      </c>
      <c r="F351" s="1217" t="s">
        <v>1192</v>
      </c>
      <c r="G351" s="1664" t="s">
        <v>1</v>
      </c>
      <c r="H351" s="2848">
        <v>0</v>
      </c>
      <c r="I351" s="2849"/>
      <c r="J351" s="2866"/>
      <c r="K351" s="2812"/>
      <c r="L351" s="2812"/>
      <c r="M351" s="2812"/>
      <c r="N351" s="2851">
        <v>0</v>
      </c>
      <c r="O351" s="2812"/>
      <c r="P351" s="2812"/>
      <c r="Q351" s="2812"/>
      <c r="R351" s="2812"/>
      <c r="S351" s="2812"/>
      <c r="T351" s="2812"/>
      <c r="U351" s="2848">
        <v>0</v>
      </c>
    </row>
    <row r="352" spans="1:21" hidden="1" x14ac:dyDescent="0.25">
      <c r="A352" s="1234"/>
      <c r="B352" s="1242" t="s">
        <v>1068</v>
      </c>
      <c r="C352" s="409"/>
      <c r="D352" s="1217" t="s">
        <v>463</v>
      </c>
      <c r="E352" s="1217" t="s">
        <v>488</v>
      </c>
      <c r="F352" s="1217" t="s">
        <v>1192</v>
      </c>
      <c r="G352" s="1664" t="s">
        <v>1064</v>
      </c>
      <c r="H352" s="2848">
        <f>H353</f>
        <v>0</v>
      </c>
      <c r="I352" s="2849"/>
      <c r="J352" s="2866"/>
      <c r="K352" s="2812"/>
      <c r="L352" s="2812"/>
      <c r="M352" s="2812"/>
      <c r="N352" s="2851">
        <f>N353</f>
        <v>0</v>
      </c>
      <c r="O352" s="2812"/>
      <c r="P352" s="2812"/>
      <c r="Q352" s="2812"/>
      <c r="R352" s="2812"/>
      <c r="S352" s="2812"/>
      <c r="T352" s="2812"/>
      <c r="U352" s="2848">
        <f>U353</f>
        <v>0</v>
      </c>
    </row>
    <row r="353" spans="1:21" hidden="1" x14ac:dyDescent="0.25">
      <c r="A353" s="1234"/>
      <c r="B353" s="1242" t="s">
        <v>1003</v>
      </c>
      <c r="C353" s="409"/>
      <c r="D353" s="1217" t="s">
        <v>463</v>
      </c>
      <c r="E353" s="1217" t="s">
        <v>488</v>
      </c>
      <c r="F353" s="1217" t="s">
        <v>1192</v>
      </c>
      <c r="G353" s="1664" t="s">
        <v>95</v>
      </c>
      <c r="H353" s="2848">
        <v>0</v>
      </c>
      <c r="I353" s="2849"/>
      <c r="J353" s="2866"/>
      <c r="K353" s="2812"/>
      <c r="L353" s="2812"/>
      <c r="M353" s="2812"/>
      <c r="N353" s="2851">
        <v>0</v>
      </c>
      <c r="O353" s="2812"/>
      <c r="P353" s="2812"/>
      <c r="Q353" s="2812"/>
      <c r="R353" s="2812"/>
      <c r="S353" s="2812"/>
      <c r="T353" s="2812"/>
      <c r="U353" s="2848">
        <v>0</v>
      </c>
    </row>
    <row r="354" spans="1:21" x14ac:dyDescent="0.25">
      <c r="A354" s="1229"/>
      <c r="B354" s="1225" t="s">
        <v>34</v>
      </c>
      <c r="C354" s="1227"/>
      <c r="D354" s="1227" t="s">
        <v>463</v>
      </c>
      <c r="E354" s="1227" t="s">
        <v>495</v>
      </c>
      <c r="F354" s="1227"/>
      <c r="G354" s="1665"/>
      <c r="H354" s="2857">
        <f>H356+H386+H395+H406+H428+H437+H443</f>
        <v>54642.14794000001</v>
      </c>
      <c r="I354" s="2858">
        <f>I356+I364</f>
        <v>13543.38</v>
      </c>
      <c r="J354" s="2859">
        <f>J356+J364</f>
        <v>9788.7259999999987</v>
      </c>
      <c r="K354" s="2812"/>
      <c r="L354" s="2812"/>
      <c r="M354" s="2812"/>
      <c r="N354" s="2860">
        <f>N360+N363+N367+N394+N305+N405+N411+N421+N436+N442+N456</f>
        <v>48314.352860000006</v>
      </c>
      <c r="O354" s="2812"/>
      <c r="P354" s="2812"/>
      <c r="Q354" s="2812"/>
      <c r="R354" s="2812"/>
      <c r="S354" s="2812"/>
      <c r="T354" s="2812"/>
      <c r="U354" s="2857">
        <f>U360+U363+U367+U394+U305+U405+U411+U421+U436+U442+U456</f>
        <v>47455.328000000001</v>
      </c>
    </row>
    <row r="355" spans="1:21" ht="34.5" x14ac:dyDescent="0.25">
      <c r="A355" s="1229"/>
      <c r="B355" s="3015" t="s">
        <v>931</v>
      </c>
      <c r="C355" s="1227"/>
      <c r="D355" s="1227"/>
      <c r="E355" s="1227"/>
      <c r="F355" s="1227" t="s">
        <v>189</v>
      </c>
      <c r="G355" s="1665"/>
      <c r="H355" s="2857">
        <f>H356</f>
        <v>34995.639530000008</v>
      </c>
      <c r="I355" s="2858"/>
      <c r="J355" s="2859"/>
      <c r="K355" s="2812"/>
      <c r="L355" s="2812"/>
      <c r="M355" s="2812"/>
      <c r="N355" s="2860"/>
      <c r="O355" s="2812"/>
      <c r="P355" s="2812"/>
      <c r="Q355" s="2812"/>
      <c r="R355" s="2812"/>
      <c r="S355" s="2812"/>
      <c r="T355" s="2812"/>
      <c r="U355" s="2857"/>
    </row>
    <row r="356" spans="1:21" ht="24" customHeight="1" x14ac:dyDescent="0.25">
      <c r="A356" s="1179"/>
      <c r="B356" s="58" t="s">
        <v>1263</v>
      </c>
      <c r="C356" s="409"/>
      <c r="D356" s="409" t="s">
        <v>463</v>
      </c>
      <c r="E356" s="409" t="s">
        <v>495</v>
      </c>
      <c r="F356" s="409" t="s">
        <v>1313</v>
      </c>
      <c r="G356" s="1662"/>
      <c r="H356" s="2848">
        <f>H357</f>
        <v>34995.639530000008</v>
      </c>
      <c r="I356" s="2849">
        <f>I357</f>
        <v>10043.379999999999</v>
      </c>
      <c r="J356" s="2865">
        <f>J357</f>
        <v>6288.7259999999997</v>
      </c>
      <c r="K356" s="2822">
        <f>K360+K363+K421+K427+K459</f>
        <v>2750</v>
      </c>
      <c r="L356" s="2812"/>
      <c r="M356" s="2812"/>
      <c r="N356" s="2851">
        <f>N358+N363+N367</f>
        <v>37398.813560000002</v>
      </c>
      <c r="O356" s="2812"/>
      <c r="P356" s="2812"/>
      <c r="Q356" s="2812"/>
      <c r="R356" s="2812"/>
      <c r="S356" s="2812"/>
      <c r="T356" s="2812"/>
      <c r="U356" s="2848">
        <f>U357+U364</f>
        <v>38451.370000000003</v>
      </c>
    </row>
    <row r="357" spans="1:21" ht="39" x14ac:dyDescent="0.25">
      <c r="A357" s="842"/>
      <c r="B357" s="1098" t="s">
        <v>1312</v>
      </c>
      <c r="C357" s="408"/>
      <c r="D357" s="409" t="s">
        <v>463</v>
      </c>
      <c r="E357" s="409" t="s">
        <v>495</v>
      </c>
      <c r="F357" s="409" t="s">
        <v>1311</v>
      </c>
      <c r="G357" s="1661"/>
      <c r="H357" s="2848">
        <f>H358+H361+H365</f>
        <v>34995.639530000008</v>
      </c>
      <c r="I357" s="2849">
        <f>I358+I361</f>
        <v>10043.379999999999</v>
      </c>
      <c r="J357" s="2865">
        <f>J358+J361</f>
        <v>6288.7259999999997</v>
      </c>
      <c r="K357" s="2812"/>
      <c r="L357" s="2812"/>
      <c r="M357" s="2812"/>
      <c r="N357" s="2851">
        <f>N358+N361+N365</f>
        <v>37398.813560000002</v>
      </c>
      <c r="O357" s="2812"/>
      <c r="P357" s="2812"/>
      <c r="Q357" s="2812"/>
      <c r="R357" s="2812"/>
      <c r="S357" s="2812"/>
      <c r="T357" s="2812"/>
      <c r="U357" s="2848">
        <f>U358+U361</f>
        <v>38381.370000000003</v>
      </c>
    </row>
    <row r="358" spans="1:21" ht="28.5" customHeight="1" x14ac:dyDescent="0.25">
      <c r="A358" s="1179"/>
      <c r="B358" s="1205" t="s">
        <v>186</v>
      </c>
      <c r="C358" s="1217"/>
      <c r="D358" s="1217" t="s">
        <v>463</v>
      </c>
      <c r="E358" s="1217" t="s">
        <v>495</v>
      </c>
      <c r="F358" s="1231" t="s">
        <v>1310</v>
      </c>
      <c r="G358" s="1664"/>
      <c r="H358" s="2848">
        <f>H360</f>
        <v>900</v>
      </c>
      <c r="I358" s="2849">
        <f>I360</f>
        <v>10043.379999999999</v>
      </c>
      <c r="J358" s="2865">
        <f>J360</f>
        <v>6288.7259999999997</v>
      </c>
      <c r="K358" s="2812"/>
      <c r="L358" s="2812"/>
      <c r="M358" s="2812"/>
      <c r="N358" s="2851">
        <f>N360</f>
        <v>2924.5650000000001</v>
      </c>
      <c r="O358" s="2812"/>
      <c r="P358" s="2812"/>
      <c r="Q358" s="2812"/>
      <c r="R358" s="2812"/>
      <c r="S358" s="2812"/>
      <c r="T358" s="2812"/>
      <c r="U358" s="2848">
        <f>U360</f>
        <v>950</v>
      </c>
    </row>
    <row r="359" spans="1:21" ht="19.5" customHeight="1" x14ac:dyDescent="0.25">
      <c r="A359" s="1179"/>
      <c r="B359" s="753" t="s">
        <v>948</v>
      </c>
      <c r="C359" s="1217"/>
      <c r="D359" s="1217" t="s">
        <v>463</v>
      </c>
      <c r="E359" s="1217" t="s">
        <v>495</v>
      </c>
      <c r="F359" s="1231" t="s">
        <v>1310</v>
      </c>
      <c r="G359" s="1664" t="s">
        <v>955</v>
      </c>
      <c r="H359" s="2848">
        <f t="shared" ref="H359:U359" si="82">H360</f>
        <v>900</v>
      </c>
      <c r="I359" s="2849">
        <f t="shared" si="82"/>
        <v>10043.379999999999</v>
      </c>
      <c r="J359" s="2866">
        <f t="shared" si="82"/>
        <v>6288.7259999999997</v>
      </c>
      <c r="K359" s="2812">
        <f t="shared" si="82"/>
        <v>2300</v>
      </c>
      <c r="L359" s="2812">
        <f t="shared" si="82"/>
        <v>0</v>
      </c>
      <c r="M359" s="2812">
        <f t="shared" si="82"/>
        <v>0</v>
      </c>
      <c r="N359" s="2851">
        <f t="shared" si="82"/>
        <v>2924.5650000000001</v>
      </c>
      <c r="O359" s="2812">
        <f t="shared" si="82"/>
        <v>0</v>
      </c>
      <c r="P359" s="2812">
        <f t="shared" si="82"/>
        <v>0</v>
      </c>
      <c r="Q359" s="2812">
        <f t="shared" si="82"/>
        <v>0</v>
      </c>
      <c r="R359" s="2812">
        <f t="shared" si="82"/>
        <v>0</v>
      </c>
      <c r="S359" s="2812">
        <f t="shared" si="82"/>
        <v>0</v>
      </c>
      <c r="T359" s="2812">
        <f t="shared" si="82"/>
        <v>0</v>
      </c>
      <c r="U359" s="2848">
        <f t="shared" si="82"/>
        <v>950</v>
      </c>
    </row>
    <row r="360" spans="1:21" ht="21" x14ac:dyDescent="0.25">
      <c r="A360" s="1179"/>
      <c r="B360" s="1182" t="s">
        <v>454</v>
      </c>
      <c r="C360" s="409"/>
      <c r="D360" s="1217" t="s">
        <v>463</v>
      </c>
      <c r="E360" s="1217" t="s">
        <v>495</v>
      </c>
      <c r="F360" s="1231" t="s">
        <v>1310</v>
      </c>
      <c r="G360" s="1662" t="s">
        <v>1</v>
      </c>
      <c r="H360" s="2848">
        <f>600+300</f>
        <v>900</v>
      </c>
      <c r="I360" s="2849">
        <v>10043.379999999999</v>
      </c>
      <c r="J360" s="2850">
        <v>6288.7259999999997</v>
      </c>
      <c r="K360" s="2812">
        <v>2300</v>
      </c>
      <c r="L360" s="2812"/>
      <c r="M360" s="2812"/>
      <c r="N360" s="2851">
        <f>2500+300+124.565</f>
        <v>2924.5650000000001</v>
      </c>
      <c r="O360" s="2812"/>
      <c r="P360" s="2812"/>
      <c r="Q360" s="2812"/>
      <c r="R360" s="2812"/>
      <c r="S360" s="2812"/>
      <c r="T360" s="2812"/>
      <c r="U360" s="2848">
        <f>600+350</f>
        <v>950</v>
      </c>
    </row>
    <row r="361" spans="1:21" ht="36.75" customHeight="1" x14ac:dyDescent="0.25">
      <c r="A361" s="1179"/>
      <c r="B361" s="1205" t="s">
        <v>184</v>
      </c>
      <c r="C361" s="409"/>
      <c r="D361" s="1217" t="s">
        <v>463</v>
      </c>
      <c r="E361" s="1217" t="s">
        <v>495</v>
      </c>
      <c r="F361" s="1231" t="s">
        <v>1314</v>
      </c>
      <c r="G361" s="1662"/>
      <c r="H361" s="2848">
        <f>H363+H381</f>
        <v>33759.849530000007</v>
      </c>
      <c r="I361" s="2849">
        <f>I363</f>
        <v>0</v>
      </c>
      <c r="J361" s="2850">
        <f>J363</f>
        <v>0</v>
      </c>
      <c r="K361" s="2812"/>
      <c r="L361" s="2812"/>
      <c r="M361" s="2812"/>
      <c r="N361" s="2851">
        <f>N363+N381</f>
        <v>34404.24856</v>
      </c>
      <c r="O361" s="2812"/>
      <c r="P361" s="2812"/>
      <c r="Q361" s="2812"/>
      <c r="R361" s="2812"/>
      <c r="S361" s="2812"/>
      <c r="T361" s="2812"/>
      <c r="U361" s="2848">
        <f>U363+U381</f>
        <v>37431.370000000003</v>
      </c>
    </row>
    <row r="362" spans="1:21" ht="17.149999999999999" customHeight="1" x14ac:dyDescent="0.25">
      <c r="A362" s="1179"/>
      <c r="B362" s="753" t="s">
        <v>948</v>
      </c>
      <c r="C362" s="409"/>
      <c r="D362" s="1217" t="s">
        <v>463</v>
      </c>
      <c r="E362" s="1217" t="s">
        <v>495</v>
      </c>
      <c r="F362" s="1231" t="s">
        <v>1314</v>
      </c>
      <c r="G362" s="1662" t="s">
        <v>955</v>
      </c>
      <c r="H362" s="2848">
        <f t="shared" ref="H362:U362" si="83">H363</f>
        <v>33759.849530000007</v>
      </c>
      <c r="I362" s="2849">
        <f t="shared" si="83"/>
        <v>0</v>
      </c>
      <c r="J362" s="2850">
        <f t="shared" si="83"/>
        <v>0</v>
      </c>
      <c r="K362" s="2812">
        <f t="shared" si="83"/>
        <v>0</v>
      </c>
      <c r="L362" s="2812">
        <f t="shared" si="83"/>
        <v>0</v>
      </c>
      <c r="M362" s="2812">
        <f t="shared" si="83"/>
        <v>0</v>
      </c>
      <c r="N362" s="2851">
        <f t="shared" si="83"/>
        <v>34404.24856</v>
      </c>
      <c r="O362" s="2812">
        <f t="shared" si="83"/>
        <v>0</v>
      </c>
      <c r="P362" s="2812">
        <f t="shared" si="83"/>
        <v>0</v>
      </c>
      <c r="Q362" s="2812">
        <f t="shared" si="83"/>
        <v>0</v>
      </c>
      <c r="R362" s="2812">
        <f t="shared" si="83"/>
        <v>0</v>
      </c>
      <c r="S362" s="2812">
        <f t="shared" si="83"/>
        <v>0</v>
      </c>
      <c r="T362" s="2812">
        <f t="shared" si="83"/>
        <v>0</v>
      </c>
      <c r="U362" s="2848">
        <f t="shared" si="83"/>
        <v>37431.370000000003</v>
      </c>
    </row>
    <row r="363" spans="1:21" ht="21.75" customHeight="1" x14ac:dyDescent="0.25">
      <c r="A363" s="1179"/>
      <c r="B363" s="1182" t="s">
        <v>454</v>
      </c>
      <c r="C363" s="409"/>
      <c r="D363" s="1217" t="s">
        <v>463</v>
      </c>
      <c r="E363" s="1217" t="s">
        <v>495</v>
      </c>
      <c r="F363" s="1231" t="s">
        <v>1314</v>
      </c>
      <c r="G363" s="1662" t="s">
        <v>1</v>
      </c>
      <c r="H363" s="2848">
        <f>29796.1824+2494.11+1000+150+319.55713</f>
        <v>33759.849530000007</v>
      </c>
      <c r="I363" s="2849"/>
      <c r="J363" s="2850"/>
      <c r="K363" s="2834"/>
      <c r="L363" s="2812"/>
      <c r="M363" s="2812"/>
      <c r="N363" s="2851">
        <f>31583.9531+2643.756+1000+150-973.46054</f>
        <v>34404.24856</v>
      </c>
      <c r="O363" s="2812"/>
      <c r="P363" s="2812"/>
      <c r="Q363" s="2812"/>
      <c r="R363" s="2812"/>
      <c r="S363" s="2812"/>
      <c r="T363" s="2812"/>
      <c r="U363" s="2848">
        <f>33478.989+1000+150+2802.381</f>
        <v>37431.370000000003</v>
      </c>
    </row>
    <row r="364" spans="1:21" ht="21" hidden="1" x14ac:dyDescent="0.25">
      <c r="A364" s="842"/>
      <c r="B364" s="1197" t="s">
        <v>1118</v>
      </c>
      <c r="C364" s="408"/>
      <c r="D364" s="409" t="s">
        <v>463</v>
      </c>
      <c r="E364" s="409" t="s">
        <v>495</v>
      </c>
      <c r="F364" s="409" t="s">
        <v>1117</v>
      </c>
      <c r="G364" s="1661"/>
      <c r="H364" s="2848">
        <f>H365+H369</f>
        <v>335.79</v>
      </c>
      <c r="I364" s="2849">
        <f>I365+I369</f>
        <v>3500</v>
      </c>
      <c r="J364" s="2850">
        <f>J365+J369</f>
        <v>3500</v>
      </c>
      <c r="K364" s="2812"/>
      <c r="L364" s="2812"/>
      <c r="M364" s="2812"/>
      <c r="N364" s="2851">
        <f>N365+N369</f>
        <v>70</v>
      </c>
      <c r="O364" s="2812"/>
      <c r="P364" s="2812"/>
      <c r="Q364" s="2812"/>
      <c r="R364" s="2812"/>
      <c r="S364" s="2812"/>
      <c r="T364" s="2812"/>
      <c r="U364" s="2848">
        <f>U365+U369</f>
        <v>70</v>
      </c>
    </row>
    <row r="365" spans="1:21" ht="23.15" customHeight="1" x14ac:dyDescent="0.25">
      <c r="A365" s="1245"/>
      <c r="B365" s="2420" t="s">
        <v>1251</v>
      </c>
      <c r="C365" s="1217"/>
      <c r="D365" s="1217" t="s">
        <v>463</v>
      </c>
      <c r="E365" s="1217" t="s">
        <v>495</v>
      </c>
      <c r="F365" s="1231" t="s">
        <v>1315</v>
      </c>
      <c r="G365" s="1664"/>
      <c r="H365" s="2848">
        <f>H367</f>
        <v>335.79</v>
      </c>
      <c r="I365" s="2849">
        <f t="shared" ref="H365:J367" si="84">I366</f>
        <v>3500</v>
      </c>
      <c r="J365" s="2850">
        <f t="shared" si="84"/>
        <v>3500</v>
      </c>
      <c r="K365" s="2812"/>
      <c r="L365" s="2812"/>
      <c r="M365" s="2812"/>
      <c r="N365" s="2851">
        <f>N367</f>
        <v>70</v>
      </c>
      <c r="O365" s="2812"/>
      <c r="P365" s="2812"/>
      <c r="Q365" s="2812"/>
      <c r="R365" s="2812"/>
      <c r="S365" s="2812"/>
      <c r="T365" s="2812"/>
      <c r="U365" s="2848">
        <f>U367</f>
        <v>70</v>
      </c>
    </row>
    <row r="366" spans="1:21" ht="20.149999999999999" customHeight="1" x14ac:dyDescent="0.25">
      <c r="A366" s="842"/>
      <c r="B366" s="753" t="s">
        <v>948</v>
      </c>
      <c r="C366" s="408"/>
      <c r="D366" s="409" t="s">
        <v>463</v>
      </c>
      <c r="E366" s="409" t="s">
        <v>495</v>
      </c>
      <c r="F366" s="1231" t="s">
        <v>1315</v>
      </c>
      <c r="G366" s="1664" t="s">
        <v>955</v>
      </c>
      <c r="H366" s="2848">
        <f t="shared" si="84"/>
        <v>335.79</v>
      </c>
      <c r="I366" s="2849">
        <f t="shared" si="84"/>
        <v>3500</v>
      </c>
      <c r="J366" s="2850">
        <f t="shared" si="84"/>
        <v>3500</v>
      </c>
      <c r="K366" s="2812"/>
      <c r="L366" s="2812"/>
      <c r="M366" s="2812"/>
      <c r="N366" s="2851">
        <f t="shared" ref="N366" si="85">N367</f>
        <v>70</v>
      </c>
      <c r="O366" s="2812"/>
      <c r="P366" s="2812"/>
      <c r="Q366" s="2812"/>
      <c r="R366" s="2812"/>
      <c r="S366" s="2812"/>
      <c r="T366" s="2812"/>
      <c r="U366" s="2848">
        <f t="shared" ref="U366" si="86">U367</f>
        <v>70</v>
      </c>
    </row>
    <row r="367" spans="1:21" ht="21" x14ac:dyDescent="0.25">
      <c r="A367" s="1245"/>
      <c r="B367" s="1182" t="s">
        <v>454</v>
      </c>
      <c r="C367" s="1217"/>
      <c r="D367" s="1217" t="s">
        <v>463</v>
      </c>
      <c r="E367" s="1217" t="s">
        <v>495</v>
      </c>
      <c r="F367" s="1231" t="s">
        <v>1315</v>
      </c>
      <c r="G367" s="1662" t="s">
        <v>1</v>
      </c>
      <c r="H367" s="2848">
        <v>335.79</v>
      </c>
      <c r="I367" s="2849">
        <f t="shared" si="84"/>
        <v>3500</v>
      </c>
      <c r="J367" s="2850">
        <f t="shared" si="84"/>
        <v>3500</v>
      </c>
      <c r="K367" s="2812"/>
      <c r="L367" s="2812"/>
      <c r="M367" s="2812"/>
      <c r="N367" s="2851">
        <v>70</v>
      </c>
      <c r="O367" s="2812"/>
      <c r="P367" s="2812"/>
      <c r="Q367" s="2812"/>
      <c r="R367" s="2812"/>
      <c r="S367" s="2812"/>
      <c r="T367" s="2812"/>
      <c r="U367" s="2848">
        <v>70</v>
      </c>
    </row>
    <row r="368" spans="1:21" ht="21" hidden="1" x14ac:dyDescent="0.25">
      <c r="A368" s="1229"/>
      <c r="B368" s="1182" t="s">
        <v>454</v>
      </c>
      <c r="C368" s="409"/>
      <c r="D368" s="1217" t="s">
        <v>463</v>
      </c>
      <c r="E368" s="1217" t="s">
        <v>495</v>
      </c>
      <c r="F368" s="409" t="s">
        <v>1116</v>
      </c>
      <c r="G368" s="1662" t="s">
        <v>1</v>
      </c>
      <c r="H368" s="2848">
        <v>0</v>
      </c>
      <c r="I368" s="2849">
        <v>3500</v>
      </c>
      <c r="J368" s="2850">
        <v>3500</v>
      </c>
      <c r="K368" s="2812"/>
      <c r="L368" s="2812"/>
      <c r="M368" s="2812"/>
      <c r="N368" s="2851">
        <v>0</v>
      </c>
      <c r="O368" s="2812"/>
      <c r="P368" s="2812"/>
      <c r="Q368" s="2812"/>
      <c r="R368" s="2812"/>
      <c r="S368" s="2812"/>
      <c r="T368" s="2812"/>
      <c r="U368" s="2848">
        <v>0</v>
      </c>
    </row>
    <row r="369" spans="1:21" ht="21" hidden="1" x14ac:dyDescent="0.25">
      <c r="A369" s="1240"/>
      <c r="B369" s="1219" t="s">
        <v>519</v>
      </c>
      <c r="C369" s="1217"/>
      <c r="D369" s="1217" t="s">
        <v>463</v>
      </c>
      <c r="E369" s="1217" t="s">
        <v>495</v>
      </c>
      <c r="F369" s="1217" t="s">
        <v>518</v>
      </c>
      <c r="G369" s="1664"/>
      <c r="H369" s="2848">
        <f>H370+H375</f>
        <v>0</v>
      </c>
      <c r="I369" s="2849">
        <f>I370+I375</f>
        <v>0</v>
      </c>
      <c r="J369" s="2850">
        <f>J370+J375</f>
        <v>0</v>
      </c>
      <c r="K369" s="2812"/>
      <c r="L369" s="2812"/>
      <c r="M369" s="2812"/>
      <c r="N369" s="2851">
        <f>N370+N375</f>
        <v>0</v>
      </c>
      <c r="O369" s="2812"/>
      <c r="P369" s="2812"/>
      <c r="Q369" s="2812"/>
      <c r="R369" s="2812"/>
      <c r="S369" s="2812"/>
      <c r="T369" s="2812"/>
      <c r="U369" s="2848">
        <f>U370+U375</f>
        <v>0</v>
      </c>
    </row>
    <row r="370" spans="1:21" ht="31.5" hidden="1" x14ac:dyDescent="0.25">
      <c r="A370" s="1240"/>
      <c r="B370" s="1219" t="s">
        <v>517</v>
      </c>
      <c r="C370" s="1217"/>
      <c r="D370" s="1217" t="s">
        <v>463</v>
      </c>
      <c r="E370" s="1217" t="s">
        <v>495</v>
      </c>
      <c r="F370" s="1217" t="s">
        <v>516</v>
      </c>
      <c r="G370" s="1664"/>
      <c r="H370" s="2848">
        <f>H371+H373</f>
        <v>0</v>
      </c>
      <c r="I370" s="2849">
        <f>I371+I373</f>
        <v>0</v>
      </c>
      <c r="J370" s="2850">
        <f>J371+J373</f>
        <v>0</v>
      </c>
      <c r="K370" s="2812"/>
      <c r="L370" s="2812"/>
      <c r="M370" s="2812"/>
      <c r="N370" s="2851">
        <f>N371+N373</f>
        <v>0</v>
      </c>
      <c r="O370" s="2812"/>
      <c r="P370" s="2812"/>
      <c r="Q370" s="2812"/>
      <c r="R370" s="2812"/>
      <c r="S370" s="2812"/>
      <c r="T370" s="2812"/>
      <c r="U370" s="2848">
        <f>U371+U373</f>
        <v>0</v>
      </c>
    </row>
    <row r="371" spans="1:21" hidden="1" x14ac:dyDescent="0.25">
      <c r="A371" s="1229"/>
      <c r="B371" s="753" t="s">
        <v>515</v>
      </c>
      <c r="C371" s="1217"/>
      <c r="D371" s="1217" t="s">
        <v>463</v>
      </c>
      <c r="E371" s="1217" t="s">
        <v>495</v>
      </c>
      <c r="F371" s="1217" t="s">
        <v>514</v>
      </c>
      <c r="G371" s="1664"/>
      <c r="H371" s="2848">
        <f>H372</f>
        <v>0</v>
      </c>
      <c r="I371" s="2849">
        <f>I372</f>
        <v>0</v>
      </c>
      <c r="J371" s="2850">
        <f>J372</f>
        <v>0</v>
      </c>
      <c r="K371" s="2812"/>
      <c r="L371" s="2812"/>
      <c r="M371" s="2812"/>
      <c r="N371" s="2851">
        <f>N372</f>
        <v>0</v>
      </c>
      <c r="O371" s="2812"/>
      <c r="P371" s="2812"/>
      <c r="Q371" s="2812"/>
      <c r="R371" s="2812"/>
      <c r="S371" s="2812"/>
      <c r="T371" s="2812"/>
      <c r="U371" s="2848">
        <f>U372</f>
        <v>0</v>
      </c>
    </row>
    <row r="372" spans="1:21" ht="21" hidden="1" x14ac:dyDescent="0.25">
      <c r="A372" s="1229"/>
      <c r="B372" s="1182" t="s">
        <v>454</v>
      </c>
      <c r="C372" s="409"/>
      <c r="D372" s="1217" t="s">
        <v>463</v>
      </c>
      <c r="E372" s="1217" t="s">
        <v>495</v>
      </c>
      <c r="F372" s="1217" t="s">
        <v>514</v>
      </c>
      <c r="G372" s="1662" t="s">
        <v>1</v>
      </c>
      <c r="H372" s="2848"/>
      <c r="I372" s="2849"/>
      <c r="J372" s="2850"/>
      <c r="K372" s="2812"/>
      <c r="L372" s="2812"/>
      <c r="M372" s="2812"/>
      <c r="N372" s="2851"/>
      <c r="O372" s="2812"/>
      <c r="P372" s="2812"/>
      <c r="Q372" s="2812"/>
      <c r="R372" s="2812"/>
      <c r="S372" s="2812"/>
      <c r="T372" s="2812"/>
      <c r="U372" s="2848"/>
    </row>
    <row r="373" spans="1:21" ht="21" hidden="1" x14ac:dyDescent="0.25">
      <c r="A373" s="1229"/>
      <c r="B373" s="753" t="s">
        <v>513</v>
      </c>
      <c r="C373" s="1217"/>
      <c r="D373" s="1217" t="s">
        <v>463</v>
      </c>
      <c r="E373" s="1217" t="s">
        <v>495</v>
      </c>
      <c r="F373" s="1217" t="s">
        <v>512</v>
      </c>
      <c r="G373" s="1664"/>
      <c r="H373" s="2848">
        <f>H374</f>
        <v>0</v>
      </c>
      <c r="I373" s="2849">
        <f>I374</f>
        <v>0</v>
      </c>
      <c r="J373" s="2850">
        <f>J374</f>
        <v>0</v>
      </c>
      <c r="K373" s="2812"/>
      <c r="L373" s="2812"/>
      <c r="M373" s="2812"/>
      <c r="N373" s="2851">
        <f>N374</f>
        <v>0</v>
      </c>
      <c r="O373" s="2812"/>
      <c r="P373" s="2812"/>
      <c r="Q373" s="2812"/>
      <c r="R373" s="2812"/>
      <c r="S373" s="2812"/>
      <c r="T373" s="2812"/>
      <c r="U373" s="2848">
        <f>U374</f>
        <v>0</v>
      </c>
    </row>
    <row r="374" spans="1:21" ht="21" hidden="1" x14ac:dyDescent="0.25">
      <c r="A374" s="1229"/>
      <c r="B374" s="1182" t="s">
        <v>454</v>
      </c>
      <c r="C374" s="409"/>
      <c r="D374" s="1217" t="s">
        <v>463</v>
      </c>
      <c r="E374" s="1217" t="s">
        <v>495</v>
      </c>
      <c r="F374" s="1217" t="s">
        <v>512</v>
      </c>
      <c r="G374" s="1662" t="s">
        <v>1</v>
      </c>
      <c r="H374" s="2848"/>
      <c r="I374" s="2849"/>
      <c r="J374" s="2850"/>
      <c r="K374" s="2812"/>
      <c r="L374" s="2812"/>
      <c r="M374" s="2812"/>
      <c r="N374" s="2851"/>
      <c r="O374" s="2812"/>
      <c r="P374" s="2812"/>
      <c r="Q374" s="2812"/>
      <c r="R374" s="2812"/>
      <c r="S374" s="2812"/>
      <c r="T374" s="2812"/>
      <c r="U374" s="2848"/>
    </row>
    <row r="375" spans="1:21" ht="21" hidden="1" x14ac:dyDescent="0.25">
      <c r="A375" s="1179"/>
      <c r="B375" s="1247" t="s">
        <v>511</v>
      </c>
      <c r="C375" s="1227"/>
      <c r="D375" s="1248" t="s">
        <v>463</v>
      </c>
      <c r="E375" s="1248" t="s">
        <v>495</v>
      </c>
      <c r="F375" s="1248" t="s">
        <v>510</v>
      </c>
      <c r="G375" s="1666"/>
      <c r="H375" s="2861">
        <f>H376+H380</f>
        <v>0</v>
      </c>
      <c r="I375" s="2863">
        <f>I376+I380</f>
        <v>0</v>
      </c>
      <c r="J375" s="2870">
        <f>J376+J380</f>
        <v>0</v>
      </c>
      <c r="K375" s="2812"/>
      <c r="L375" s="2812"/>
      <c r="M375" s="2812"/>
      <c r="N375" s="2862">
        <f>N376+N380</f>
        <v>0</v>
      </c>
      <c r="O375" s="2812"/>
      <c r="P375" s="2812"/>
      <c r="Q375" s="2812"/>
      <c r="R375" s="2812"/>
      <c r="S375" s="2812"/>
      <c r="T375" s="2812"/>
      <c r="U375" s="2861">
        <f>U376+U380</f>
        <v>0</v>
      </c>
    </row>
    <row r="376" spans="1:21" hidden="1" x14ac:dyDescent="0.25">
      <c r="A376" s="842"/>
      <c r="B376" s="1224" t="s">
        <v>351</v>
      </c>
      <c r="C376" s="1217"/>
      <c r="D376" s="1217" t="s">
        <v>463</v>
      </c>
      <c r="E376" s="1217" t="s">
        <v>495</v>
      </c>
      <c r="F376" s="1217" t="s">
        <v>508</v>
      </c>
      <c r="G376" s="1664"/>
      <c r="H376" s="2848">
        <f>H377+H378+H379</f>
        <v>0</v>
      </c>
      <c r="I376" s="2849">
        <f>I377+I378+I379</f>
        <v>0</v>
      </c>
      <c r="J376" s="2850">
        <f>J377+J378+J379</f>
        <v>0</v>
      </c>
      <c r="K376" s="2812"/>
      <c r="L376" s="2812"/>
      <c r="M376" s="2812"/>
      <c r="N376" s="2851">
        <f>N377+N378+N379</f>
        <v>0</v>
      </c>
      <c r="O376" s="2812"/>
      <c r="P376" s="2812"/>
      <c r="Q376" s="2812"/>
      <c r="R376" s="2812"/>
      <c r="S376" s="2812"/>
      <c r="T376" s="2812"/>
      <c r="U376" s="2848">
        <f>U377+U378+U379</f>
        <v>0</v>
      </c>
    </row>
    <row r="377" spans="1:21" hidden="1" x14ac:dyDescent="0.25">
      <c r="A377" s="1179"/>
      <c r="B377" s="1182" t="s">
        <v>458</v>
      </c>
      <c r="C377" s="409"/>
      <c r="D377" s="1217" t="s">
        <v>463</v>
      </c>
      <c r="E377" s="1217" t="s">
        <v>495</v>
      </c>
      <c r="F377" s="1217" t="s">
        <v>508</v>
      </c>
      <c r="G377" s="1662" t="s">
        <v>255</v>
      </c>
      <c r="H377" s="2848"/>
      <c r="I377" s="2849"/>
      <c r="J377" s="2850"/>
      <c r="K377" s="2812"/>
      <c r="L377" s="2812"/>
      <c r="M377" s="2812"/>
      <c r="N377" s="2851"/>
      <c r="O377" s="2812"/>
      <c r="P377" s="2812"/>
      <c r="Q377" s="2812"/>
      <c r="R377" s="2812"/>
      <c r="S377" s="2812"/>
      <c r="T377" s="2812"/>
      <c r="U377" s="2848"/>
    </row>
    <row r="378" spans="1:21" ht="21" hidden="1" x14ac:dyDescent="0.25">
      <c r="A378" s="1179"/>
      <c r="B378" s="1182" t="s">
        <v>454</v>
      </c>
      <c r="C378" s="409"/>
      <c r="D378" s="1217" t="s">
        <v>463</v>
      </c>
      <c r="E378" s="1217" t="s">
        <v>495</v>
      </c>
      <c r="F378" s="1217" t="s">
        <v>508</v>
      </c>
      <c r="G378" s="1662" t="s">
        <v>1</v>
      </c>
      <c r="H378" s="2848"/>
      <c r="I378" s="2849"/>
      <c r="J378" s="2850"/>
      <c r="K378" s="2812"/>
      <c r="L378" s="2812"/>
      <c r="M378" s="2812"/>
      <c r="N378" s="2851"/>
      <c r="O378" s="2812"/>
      <c r="P378" s="2812"/>
      <c r="Q378" s="2812"/>
      <c r="R378" s="2812"/>
      <c r="S378" s="2812"/>
      <c r="T378" s="2812"/>
      <c r="U378" s="2848"/>
    </row>
    <row r="379" spans="1:21" hidden="1" x14ac:dyDescent="0.25">
      <c r="A379" s="1179"/>
      <c r="B379" s="1182" t="s">
        <v>457</v>
      </c>
      <c r="C379" s="409"/>
      <c r="D379" s="1217" t="s">
        <v>463</v>
      </c>
      <c r="E379" s="1217" t="s">
        <v>495</v>
      </c>
      <c r="F379" s="1217" t="s">
        <v>508</v>
      </c>
      <c r="G379" s="1662" t="s">
        <v>91</v>
      </c>
      <c r="H379" s="2848"/>
      <c r="I379" s="2849"/>
      <c r="J379" s="2850"/>
      <c r="K379" s="2812"/>
      <c r="L379" s="2812"/>
      <c r="M379" s="2812"/>
      <c r="N379" s="2851"/>
      <c r="O379" s="2812"/>
      <c r="P379" s="2812"/>
      <c r="Q379" s="2812"/>
      <c r="R379" s="2812"/>
      <c r="S379" s="2812"/>
      <c r="T379" s="2812"/>
      <c r="U379" s="2848"/>
    </row>
    <row r="380" spans="1:21" ht="15" hidden="1" customHeight="1" x14ac:dyDescent="0.25">
      <c r="A380" s="842"/>
      <c r="B380" s="1180"/>
      <c r="C380" s="1217"/>
      <c r="D380" s="1217" t="s">
        <v>463</v>
      </c>
      <c r="E380" s="1217" t="s">
        <v>495</v>
      </c>
      <c r="F380" s="1217" t="s">
        <v>183</v>
      </c>
      <c r="G380" s="1664"/>
      <c r="H380" s="2848">
        <f>H381</f>
        <v>0</v>
      </c>
      <c r="I380" s="2849">
        <f>I381</f>
        <v>0</v>
      </c>
      <c r="J380" s="2850">
        <f>J381</f>
        <v>0</v>
      </c>
      <c r="K380" s="2812"/>
      <c r="L380" s="2812"/>
      <c r="M380" s="2812"/>
      <c r="N380" s="2851">
        <f>N381</f>
        <v>0</v>
      </c>
      <c r="O380" s="2812"/>
      <c r="P380" s="2812"/>
      <c r="Q380" s="2812"/>
      <c r="R380" s="2812"/>
      <c r="S380" s="2812"/>
      <c r="T380" s="2812"/>
      <c r="U380" s="2848">
        <f>U381</f>
        <v>0</v>
      </c>
    </row>
    <row r="381" spans="1:21" ht="30.75" hidden="1" customHeight="1" x14ac:dyDescent="0.25">
      <c r="A381" s="1179"/>
      <c r="B381" s="1191" t="s">
        <v>916</v>
      </c>
      <c r="C381" s="1193"/>
      <c r="D381" s="1531" t="s">
        <v>463</v>
      </c>
      <c r="E381" s="1531" t="s">
        <v>495</v>
      </c>
      <c r="F381" s="1531" t="s">
        <v>183</v>
      </c>
      <c r="G381" s="1663" t="s">
        <v>521</v>
      </c>
      <c r="H381" s="2848">
        <f>722.93+5324.558+935-6982.488</f>
        <v>0</v>
      </c>
      <c r="I381" s="2849"/>
      <c r="J381" s="2850"/>
      <c r="K381" s="2812"/>
      <c r="L381" s="2812"/>
      <c r="M381" s="2812"/>
      <c r="N381" s="2851">
        <f>722.93+5324.558+935-6982.488</f>
        <v>0</v>
      </c>
      <c r="O381" s="2812"/>
      <c r="P381" s="2812"/>
      <c r="Q381" s="2812"/>
      <c r="R381" s="2812"/>
      <c r="S381" s="2812"/>
      <c r="T381" s="2812"/>
      <c r="U381" s="2848">
        <f>722.93+5324.558+935-6982.488</f>
        <v>0</v>
      </c>
    </row>
    <row r="382" spans="1:21" ht="30.75" hidden="1" customHeight="1" x14ac:dyDescent="0.25">
      <c r="A382" s="732"/>
      <c r="B382" s="1869" t="s">
        <v>1013</v>
      </c>
      <c r="C382" s="1193"/>
      <c r="D382" s="1531" t="s">
        <v>463</v>
      </c>
      <c r="E382" s="1531" t="s">
        <v>495</v>
      </c>
      <c r="F382" s="409" t="s">
        <v>1014</v>
      </c>
      <c r="G382" s="1663"/>
      <c r="H382" s="2848">
        <f>H383</f>
        <v>0</v>
      </c>
      <c r="I382" s="2849"/>
      <c r="J382" s="2850"/>
      <c r="K382" s="2812"/>
      <c r="L382" s="2812"/>
      <c r="M382" s="2812"/>
      <c r="N382" s="2871"/>
      <c r="O382" s="2812"/>
      <c r="P382" s="2812"/>
      <c r="Q382" s="2812"/>
      <c r="R382" s="2812"/>
      <c r="S382" s="2812"/>
      <c r="T382" s="2812"/>
      <c r="U382" s="2848"/>
    </row>
    <row r="383" spans="1:21" ht="30.75" hidden="1" customHeight="1" x14ac:dyDescent="0.25">
      <c r="A383" s="732"/>
      <c r="B383" s="1870" t="s">
        <v>1015</v>
      </c>
      <c r="C383" s="1193"/>
      <c r="D383" s="1531" t="s">
        <v>463</v>
      </c>
      <c r="E383" s="1531" t="s">
        <v>495</v>
      </c>
      <c r="F383" s="1534" t="s">
        <v>1016</v>
      </c>
      <c r="G383" s="1663"/>
      <c r="H383" s="2848">
        <f>H384</f>
        <v>0</v>
      </c>
      <c r="I383" s="2849"/>
      <c r="J383" s="2850"/>
      <c r="K383" s="2812"/>
      <c r="L383" s="2812"/>
      <c r="M383" s="2812"/>
      <c r="N383" s="2871"/>
      <c r="O383" s="2812"/>
      <c r="P383" s="2812"/>
      <c r="Q383" s="2812"/>
      <c r="R383" s="2812"/>
      <c r="S383" s="2812"/>
      <c r="T383" s="2812"/>
      <c r="U383" s="2848"/>
    </row>
    <row r="384" spans="1:21" ht="30.75" hidden="1" customHeight="1" x14ac:dyDescent="0.25">
      <c r="A384" s="732"/>
      <c r="B384" s="1871" t="s">
        <v>1017</v>
      </c>
      <c r="C384" s="1193"/>
      <c r="D384" s="1531" t="s">
        <v>463</v>
      </c>
      <c r="E384" s="1531" t="s">
        <v>495</v>
      </c>
      <c r="F384" s="409" t="s">
        <v>1018</v>
      </c>
      <c r="G384" s="1663"/>
      <c r="H384" s="2848">
        <f>H385</f>
        <v>0</v>
      </c>
      <c r="I384" s="2849"/>
      <c r="J384" s="2850"/>
      <c r="K384" s="2812"/>
      <c r="L384" s="2812"/>
      <c r="M384" s="2812"/>
      <c r="N384" s="2871"/>
      <c r="O384" s="2812"/>
      <c r="P384" s="2812"/>
      <c r="Q384" s="2812"/>
      <c r="R384" s="2812"/>
      <c r="S384" s="2812"/>
      <c r="T384" s="2812"/>
      <c r="U384" s="2848"/>
    </row>
    <row r="385" spans="1:26" ht="30.75" hidden="1" customHeight="1" x14ac:dyDescent="0.25">
      <c r="A385" s="732"/>
      <c r="B385" s="1182" t="s">
        <v>454</v>
      </c>
      <c r="C385" s="1193"/>
      <c r="D385" s="1531" t="s">
        <v>463</v>
      </c>
      <c r="E385" s="1531" t="s">
        <v>495</v>
      </c>
      <c r="F385" s="409" t="s">
        <v>1018</v>
      </c>
      <c r="G385" s="1663" t="s">
        <v>1</v>
      </c>
      <c r="H385" s="2848"/>
      <c r="I385" s="2849"/>
      <c r="J385" s="2850"/>
      <c r="K385" s="2812"/>
      <c r="L385" s="2812"/>
      <c r="M385" s="2812"/>
      <c r="N385" s="2871"/>
      <c r="O385" s="2812"/>
      <c r="P385" s="2812"/>
      <c r="Q385" s="2812"/>
      <c r="R385" s="2812"/>
      <c r="S385" s="2812"/>
      <c r="T385" s="2812"/>
      <c r="U385" s="2848"/>
    </row>
    <row r="386" spans="1:26" ht="30.75" customHeight="1" x14ac:dyDescent="0.3">
      <c r="A386" s="732"/>
      <c r="B386" s="3016" t="s">
        <v>1059</v>
      </c>
      <c r="C386" s="3017"/>
      <c r="D386" s="1221" t="s">
        <v>463</v>
      </c>
      <c r="E386" s="1221" t="s">
        <v>495</v>
      </c>
      <c r="F386" s="408" t="s">
        <v>468</v>
      </c>
      <c r="G386" s="3018"/>
      <c r="H386" s="2852">
        <f>H387</f>
        <v>2434.1125999999999</v>
      </c>
      <c r="I386" s="2853"/>
      <c r="J386" s="2854"/>
      <c r="K386" s="2855"/>
      <c r="L386" s="2855"/>
      <c r="M386" s="2855"/>
      <c r="N386" s="3019">
        <f>N387</f>
        <v>500.00000000000006</v>
      </c>
      <c r="O386" s="2855"/>
      <c r="P386" s="2855"/>
      <c r="Q386" s="2855"/>
      <c r="R386" s="2855"/>
      <c r="S386" s="2855"/>
      <c r="T386" s="2855"/>
      <c r="U386" s="2852">
        <f>U387</f>
        <v>500</v>
      </c>
    </row>
    <row r="387" spans="1:26" ht="30.75" customHeight="1" x14ac:dyDescent="0.25">
      <c r="A387" s="732"/>
      <c r="B387" s="2984" t="s">
        <v>1263</v>
      </c>
      <c r="C387" s="1193"/>
      <c r="D387" s="1217" t="s">
        <v>463</v>
      </c>
      <c r="E387" s="1217" t="s">
        <v>495</v>
      </c>
      <c r="F387" s="409" t="s">
        <v>1319</v>
      </c>
      <c r="G387" s="1663"/>
      <c r="H387" s="2848">
        <f>H388</f>
        <v>2434.1125999999999</v>
      </c>
      <c r="I387" s="2849"/>
      <c r="J387" s="2850"/>
      <c r="K387" s="2812"/>
      <c r="L387" s="2812"/>
      <c r="M387" s="2812"/>
      <c r="N387" s="2871">
        <f>N388</f>
        <v>500.00000000000006</v>
      </c>
      <c r="O387" s="2812"/>
      <c r="P387" s="2812"/>
      <c r="Q387" s="2812"/>
      <c r="R387" s="2812"/>
      <c r="S387" s="2812"/>
      <c r="T387" s="2812"/>
      <c r="U387" s="2848">
        <f>U388</f>
        <v>500</v>
      </c>
    </row>
    <row r="388" spans="1:26" ht="30.75" customHeight="1" x14ac:dyDescent="0.25">
      <c r="A388" s="732"/>
      <c r="B388" s="3000" t="s">
        <v>1318</v>
      </c>
      <c r="C388" s="409"/>
      <c r="D388" s="1217" t="s">
        <v>463</v>
      </c>
      <c r="E388" s="1217" t="s">
        <v>495</v>
      </c>
      <c r="F388" s="409" t="s">
        <v>1317</v>
      </c>
      <c r="G388" s="1663"/>
      <c r="H388" s="2848">
        <f>H392+H389</f>
        <v>2434.1125999999999</v>
      </c>
      <c r="I388" s="2849"/>
      <c r="J388" s="2850"/>
      <c r="K388" s="2812"/>
      <c r="L388" s="2812"/>
      <c r="M388" s="2812"/>
      <c r="N388" s="2871">
        <f>N392</f>
        <v>500.00000000000006</v>
      </c>
      <c r="O388" s="2812"/>
      <c r="P388" s="2812"/>
      <c r="Q388" s="2812"/>
      <c r="R388" s="2812"/>
      <c r="S388" s="2812"/>
      <c r="T388" s="2812"/>
      <c r="U388" s="2848">
        <f>U392</f>
        <v>500</v>
      </c>
    </row>
    <row r="389" spans="1:26" ht="61.5" customHeight="1" x14ac:dyDescent="0.25">
      <c r="A389" s="732"/>
      <c r="B389" s="2996" t="s">
        <v>1370</v>
      </c>
      <c r="C389" s="1193"/>
      <c r="D389" s="1217" t="s">
        <v>463</v>
      </c>
      <c r="E389" s="1217" t="s">
        <v>495</v>
      </c>
      <c r="F389" s="409" t="s">
        <v>1369</v>
      </c>
      <c r="G389" s="1663"/>
      <c r="H389" s="2848">
        <f>H390</f>
        <v>90</v>
      </c>
      <c r="I389" s="2849"/>
      <c r="J389" s="2850"/>
      <c r="K389" s="2812"/>
      <c r="L389" s="2812"/>
      <c r="M389" s="2812"/>
      <c r="N389" s="2871">
        <f>N390</f>
        <v>0</v>
      </c>
      <c r="O389" s="2812"/>
      <c r="P389" s="2812"/>
      <c r="Q389" s="2812"/>
      <c r="R389" s="2812"/>
      <c r="S389" s="2812"/>
      <c r="T389" s="2812"/>
      <c r="U389" s="2848">
        <f>U390</f>
        <v>0</v>
      </c>
    </row>
    <row r="390" spans="1:26" ht="30.75" customHeight="1" x14ac:dyDescent="0.25">
      <c r="A390" s="732"/>
      <c r="B390" s="753" t="s">
        <v>948</v>
      </c>
      <c r="C390" s="1193"/>
      <c r="D390" s="1217" t="s">
        <v>463</v>
      </c>
      <c r="E390" s="1217" t="s">
        <v>495</v>
      </c>
      <c r="F390" s="409" t="s">
        <v>1369</v>
      </c>
      <c r="G390" s="1663" t="s">
        <v>955</v>
      </c>
      <c r="H390" s="2848">
        <f>H391</f>
        <v>90</v>
      </c>
      <c r="I390" s="2849"/>
      <c r="J390" s="2850"/>
      <c r="K390" s="2812"/>
      <c r="L390" s="2812"/>
      <c r="M390" s="2812"/>
      <c r="N390" s="2871">
        <f>N391</f>
        <v>0</v>
      </c>
      <c r="O390" s="2812"/>
      <c r="P390" s="2812"/>
      <c r="Q390" s="2812"/>
      <c r="R390" s="2812"/>
      <c r="S390" s="2812"/>
      <c r="T390" s="2812"/>
      <c r="U390" s="2848">
        <f>U391</f>
        <v>0</v>
      </c>
    </row>
    <row r="391" spans="1:26" ht="30.75" customHeight="1" x14ac:dyDescent="0.25">
      <c r="A391" s="732"/>
      <c r="B391" s="1182" t="s">
        <v>454</v>
      </c>
      <c r="C391" s="1193"/>
      <c r="D391" s="1217" t="s">
        <v>463</v>
      </c>
      <c r="E391" s="1217" t="s">
        <v>495</v>
      </c>
      <c r="F391" s="409" t="s">
        <v>1369</v>
      </c>
      <c r="G391" s="1663" t="s">
        <v>1</v>
      </c>
      <c r="H391" s="2848">
        <v>90</v>
      </c>
      <c r="I391" s="2849"/>
      <c r="J391" s="2850"/>
      <c r="K391" s="2812"/>
      <c r="L391" s="2812"/>
      <c r="M391" s="2812"/>
      <c r="N391" s="2871">
        <v>0</v>
      </c>
      <c r="O391" s="2812"/>
      <c r="P391" s="2812"/>
      <c r="Q391" s="2812"/>
      <c r="R391" s="2812"/>
      <c r="S391" s="2812"/>
      <c r="T391" s="2812"/>
      <c r="U391" s="2848">
        <v>0</v>
      </c>
    </row>
    <row r="392" spans="1:26" ht="30.75" customHeight="1" x14ac:dyDescent="0.25">
      <c r="A392" s="732"/>
      <c r="B392" s="1242" t="s">
        <v>1250</v>
      </c>
      <c r="C392" s="1193"/>
      <c r="D392" s="1217" t="s">
        <v>463</v>
      </c>
      <c r="E392" s="1217" t="s">
        <v>495</v>
      </c>
      <c r="F392" s="2044" t="s">
        <v>1316</v>
      </c>
      <c r="G392" s="1663"/>
      <c r="H392" s="2848">
        <f>H394</f>
        <v>2344.1125999999999</v>
      </c>
      <c r="I392" s="2849"/>
      <c r="J392" s="2850"/>
      <c r="K392" s="2812"/>
      <c r="L392" s="2812"/>
      <c r="M392" s="2812"/>
      <c r="N392" s="2871">
        <f>N393</f>
        <v>500.00000000000006</v>
      </c>
      <c r="O392" s="2812"/>
      <c r="P392" s="2812"/>
      <c r="Q392" s="2812"/>
      <c r="R392" s="2812"/>
      <c r="S392" s="2812"/>
      <c r="T392" s="2812"/>
      <c r="U392" s="2848">
        <f>U394</f>
        <v>500</v>
      </c>
    </row>
    <row r="393" spans="1:26" ht="23.15" customHeight="1" x14ac:dyDescent="0.25">
      <c r="A393" s="732"/>
      <c r="B393" s="1182" t="s">
        <v>1048</v>
      </c>
      <c r="C393" s="1193"/>
      <c r="D393" s="1217" t="s">
        <v>463</v>
      </c>
      <c r="E393" s="1217" t="s">
        <v>495</v>
      </c>
      <c r="F393" s="2044" t="s">
        <v>1316</v>
      </c>
      <c r="G393" s="1663" t="s">
        <v>955</v>
      </c>
      <c r="H393" s="2848">
        <f>H394</f>
        <v>2344.1125999999999</v>
      </c>
      <c r="I393" s="2849"/>
      <c r="J393" s="2850"/>
      <c r="K393" s="2812"/>
      <c r="L393" s="2812"/>
      <c r="M393" s="2812"/>
      <c r="N393" s="2871">
        <f>N394</f>
        <v>500.00000000000006</v>
      </c>
      <c r="O393" s="2812"/>
      <c r="P393" s="2812"/>
      <c r="Q393" s="2812"/>
      <c r="R393" s="2812"/>
      <c r="S393" s="2812"/>
      <c r="T393" s="2812"/>
      <c r="U393" s="2848">
        <v>500</v>
      </c>
    </row>
    <row r="394" spans="1:26" ht="30.75" customHeight="1" x14ac:dyDescent="0.25">
      <c r="A394" s="732"/>
      <c r="B394" s="1182" t="s">
        <v>454</v>
      </c>
      <c r="C394" s="1193"/>
      <c r="D394" s="1217" t="s">
        <v>463</v>
      </c>
      <c r="E394" s="1217" t="s">
        <v>495</v>
      </c>
      <c r="F394" s="2044" t="s">
        <v>1316</v>
      </c>
      <c r="G394" s="1663" t="s">
        <v>1</v>
      </c>
      <c r="H394" s="2872">
        <f>2434.1126-90</f>
        <v>2344.1125999999999</v>
      </c>
      <c r="I394" s="2873"/>
      <c r="J394" s="2874"/>
      <c r="K394" s="2875"/>
      <c r="L394" s="2876"/>
      <c r="M394" s="2812"/>
      <c r="N394" s="2848">
        <f>624.565-124.565</f>
        <v>500.00000000000006</v>
      </c>
      <c r="O394" s="2812"/>
      <c r="P394" s="2877">
        <v>500</v>
      </c>
      <c r="Q394" s="2877">
        <v>500</v>
      </c>
      <c r="R394" s="2812"/>
      <c r="S394" s="2812"/>
      <c r="T394" s="2812"/>
      <c r="U394" s="2848">
        <v>500</v>
      </c>
      <c r="Z394" s="1">
        <v>2136.73</v>
      </c>
    </row>
    <row r="395" spans="1:26" ht="30.75" customHeight="1" x14ac:dyDescent="0.25">
      <c r="A395" s="732"/>
      <c r="B395" s="1242" t="s">
        <v>1049</v>
      </c>
      <c r="C395" s="1193"/>
      <c r="D395" s="1248" t="s">
        <v>463</v>
      </c>
      <c r="E395" s="1248" t="s">
        <v>495</v>
      </c>
      <c r="F395" s="409" t="s">
        <v>1045</v>
      </c>
      <c r="G395" s="1663"/>
      <c r="H395" s="2848">
        <f>H396+H401</f>
        <v>1230.1120000000001</v>
      </c>
      <c r="I395" s="2849"/>
      <c r="J395" s="2850"/>
      <c r="K395" s="2812"/>
      <c r="L395" s="2812"/>
      <c r="M395" s="2812"/>
      <c r="N395" s="2871">
        <f>N402</f>
        <v>874.66700000000003</v>
      </c>
      <c r="O395" s="2812"/>
      <c r="P395" s="2812"/>
      <c r="Q395" s="2812"/>
      <c r="R395" s="2812"/>
      <c r="S395" s="2812"/>
      <c r="T395" s="2812"/>
      <c r="U395" s="2848">
        <f>U402</f>
        <v>0</v>
      </c>
    </row>
    <row r="396" spans="1:26" ht="30.75" customHeight="1" x14ac:dyDescent="0.25">
      <c r="A396" s="732"/>
      <c r="B396" s="2984" t="s">
        <v>1263</v>
      </c>
      <c r="C396" s="1193"/>
      <c r="D396" s="409" t="s">
        <v>463</v>
      </c>
      <c r="E396" s="409" t="s">
        <v>495</v>
      </c>
      <c r="F396" s="409" t="s">
        <v>1357</v>
      </c>
      <c r="G396" s="1663"/>
      <c r="H396" s="2848">
        <f>H397</f>
        <v>60</v>
      </c>
      <c r="I396" s="2849"/>
      <c r="J396" s="2850"/>
      <c r="K396" s="2812"/>
      <c r="L396" s="2812"/>
      <c r="M396" s="2812"/>
      <c r="N396" s="2871">
        <f>N397</f>
        <v>0</v>
      </c>
      <c r="O396" s="2812"/>
      <c r="P396" s="2812"/>
      <c r="Q396" s="2812"/>
      <c r="R396" s="2812"/>
      <c r="S396" s="2812"/>
      <c r="T396" s="2812"/>
      <c r="U396" s="2848">
        <f>U397</f>
        <v>0</v>
      </c>
    </row>
    <row r="397" spans="1:26" ht="30.75" customHeight="1" x14ac:dyDescent="0.25">
      <c r="A397" s="732"/>
      <c r="B397" s="2984" t="s">
        <v>1359</v>
      </c>
      <c r="C397" s="1193"/>
      <c r="D397" s="409" t="s">
        <v>463</v>
      </c>
      <c r="E397" s="409" t="s">
        <v>495</v>
      </c>
      <c r="F397" s="409" t="s">
        <v>1358</v>
      </c>
      <c r="G397" s="1663"/>
      <c r="H397" s="2848">
        <f>H398</f>
        <v>60</v>
      </c>
      <c r="I397" s="2849"/>
      <c r="J397" s="2850"/>
      <c r="K397" s="2812"/>
      <c r="L397" s="2812"/>
      <c r="M397" s="2812"/>
      <c r="N397" s="2871">
        <f>N398</f>
        <v>0</v>
      </c>
      <c r="O397" s="2812"/>
      <c r="P397" s="2812"/>
      <c r="Q397" s="2812"/>
      <c r="R397" s="2812"/>
      <c r="S397" s="2812"/>
      <c r="T397" s="2812"/>
      <c r="U397" s="2848">
        <f>U398</f>
        <v>0</v>
      </c>
    </row>
    <row r="398" spans="1:26" ht="30.75" customHeight="1" x14ac:dyDescent="0.25">
      <c r="A398" s="732"/>
      <c r="B398" s="2984" t="s">
        <v>1361</v>
      </c>
      <c r="C398" s="1193"/>
      <c r="D398" s="409" t="s">
        <v>463</v>
      </c>
      <c r="E398" s="409" t="s">
        <v>495</v>
      </c>
      <c r="F398" s="409" t="s">
        <v>1360</v>
      </c>
      <c r="G398" s="1663"/>
      <c r="H398" s="2848">
        <f>H399</f>
        <v>60</v>
      </c>
      <c r="I398" s="2849"/>
      <c r="J398" s="2850"/>
      <c r="K398" s="2812"/>
      <c r="L398" s="2812"/>
      <c r="M398" s="2812"/>
      <c r="N398" s="2871">
        <f>N399</f>
        <v>0</v>
      </c>
      <c r="O398" s="2812"/>
      <c r="P398" s="2812"/>
      <c r="Q398" s="2812"/>
      <c r="R398" s="2812"/>
      <c r="S398" s="2812"/>
      <c r="T398" s="2812"/>
      <c r="U398" s="2848">
        <f>U399</f>
        <v>0</v>
      </c>
    </row>
    <row r="399" spans="1:26" ht="30.75" customHeight="1" x14ac:dyDescent="0.25">
      <c r="A399" s="732"/>
      <c r="B399" s="1182" t="s">
        <v>1048</v>
      </c>
      <c r="C399" s="1193"/>
      <c r="D399" s="409" t="s">
        <v>463</v>
      </c>
      <c r="E399" s="409" t="s">
        <v>495</v>
      </c>
      <c r="F399" s="409" t="s">
        <v>1360</v>
      </c>
      <c r="G399" s="1663" t="s">
        <v>955</v>
      </c>
      <c r="H399" s="2848">
        <f>H400</f>
        <v>60</v>
      </c>
      <c r="I399" s="2849"/>
      <c r="J399" s="2850"/>
      <c r="K399" s="2812"/>
      <c r="L399" s="2812"/>
      <c r="M399" s="2812"/>
      <c r="N399" s="2871">
        <f>N400</f>
        <v>0</v>
      </c>
      <c r="O399" s="2812"/>
      <c r="P399" s="2812"/>
      <c r="Q399" s="2812"/>
      <c r="R399" s="2812"/>
      <c r="S399" s="2812"/>
      <c r="T399" s="2812"/>
      <c r="U399" s="2848">
        <f>U400</f>
        <v>0</v>
      </c>
    </row>
    <row r="400" spans="1:26" ht="30.75" customHeight="1" x14ac:dyDescent="0.25">
      <c r="A400" s="732"/>
      <c r="B400" s="1182" t="s">
        <v>454</v>
      </c>
      <c r="C400" s="1193"/>
      <c r="D400" s="409" t="s">
        <v>463</v>
      </c>
      <c r="E400" s="409" t="s">
        <v>495</v>
      </c>
      <c r="F400" s="409" t="s">
        <v>1360</v>
      </c>
      <c r="G400" s="1663" t="s">
        <v>1</v>
      </c>
      <c r="H400" s="2848">
        <v>60</v>
      </c>
      <c r="I400" s="2849"/>
      <c r="J400" s="2850"/>
      <c r="K400" s="2812"/>
      <c r="L400" s="2812"/>
      <c r="M400" s="2812"/>
      <c r="N400" s="2871">
        <v>0</v>
      </c>
      <c r="O400" s="2812"/>
      <c r="P400" s="2812"/>
      <c r="Q400" s="2812"/>
      <c r="R400" s="2812"/>
      <c r="S400" s="2812"/>
      <c r="T400" s="2812"/>
      <c r="U400" s="2848">
        <v>0</v>
      </c>
    </row>
    <row r="401" spans="1:26" ht="23.15" customHeight="1" x14ac:dyDescent="0.3">
      <c r="A401" s="732"/>
      <c r="B401" s="2012" t="s">
        <v>1297</v>
      </c>
      <c r="C401" s="1193"/>
      <c r="D401" s="409" t="s">
        <v>463</v>
      </c>
      <c r="E401" s="409" t="s">
        <v>495</v>
      </c>
      <c r="F401" s="409" t="s">
        <v>1331</v>
      </c>
      <c r="G401" s="1663"/>
      <c r="H401" s="2848">
        <f>H402</f>
        <v>1170.1120000000001</v>
      </c>
      <c r="I401" s="2849"/>
      <c r="J401" s="2850"/>
      <c r="K401" s="2812"/>
      <c r="L401" s="2812"/>
      <c r="M401" s="2812"/>
      <c r="N401" s="2871">
        <f t="shared" ref="N401:U401" si="87">N402</f>
        <v>874.66700000000003</v>
      </c>
      <c r="O401" s="2812">
        <f t="shared" si="87"/>
        <v>0</v>
      </c>
      <c r="P401" s="2812">
        <f t="shared" si="87"/>
        <v>0</v>
      </c>
      <c r="Q401" s="2812">
        <f t="shared" si="87"/>
        <v>0</v>
      </c>
      <c r="R401" s="2812">
        <f t="shared" si="87"/>
        <v>0</v>
      </c>
      <c r="S401" s="2812">
        <f t="shared" si="87"/>
        <v>0</v>
      </c>
      <c r="T401" s="2812">
        <f t="shared" si="87"/>
        <v>0</v>
      </c>
      <c r="U401" s="2848">
        <f t="shared" si="87"/>
        <v>0</v>
      </c>
    </row>
    <row r="402" spans="1:26" ht="30.75" customHeight="1" x14ac:dyDescent="0.3">
      <c r="A402" s="732"/>
      <c r="B402" s="2012" t="s">
        <v>1330</v>
      </c>
      <c r="C402" s="1193"/>
      <c r="D402" s="1217" t="s">
        <v>463</v>
      </c>
      <c r="E402" s="1217" t="s">
        <v>495</v>
      </c>
      <c r="F402" s="409" t="s">
        <v>1329</v>
      </c>
      <c r="G402" s="1663"/>
      <c r="H402" s="2848">
        <f>H403</f>
        <v>1170.1120000000001</v>
      </c>
      <c r="I402" s="2849"/>
      <c r="J402" s="2850"/>
      <c r="K402" s="2812"/>
      <c r="L402" s="2812"/>
      <c r="M402" s="2812"/>
      <c r="N402" s="2871">
        <f>N403</f>
        <v>874.66700000000003</v>
      </c>
      <c r="O402" s="2812"/>
      <c r="P402" s="2812"/>
      <c r="Q402" s="2812"/>
      <c r="R402" s="2812"/>
      <c r="S402" s="2812"/>
      <c r="T402" s="2812"/>
      <c r="U402" s="2848">
        <f>U403</f>
        <v>0</v>
      </c>
    </row>
    <row r="403" spans="1:26" ht="30.75" customHeight="1" x14ac:dyDescent="0.25">
      <c r="A403" s="732"/>
      <c r="B403" s="1242" t="s">
        <v>1051</v>
      </c>
      <c r="C403" s="1193"/>
      <c r="D403" s="1217" t="s">
        <v>463</v>
      </c>
      <c r="E403" s="1217" t="s">
        <v>495</v>
      </c>
      <c r="F403" s="2044" t="s">
        <v>1328</v>
      </c>
      <c r="G403" s="1663"/>
      <c r="H403" s="2848">
        <f>H405</f>
        <v>1170.1120000000001</v>
      </c>
      <c r="I403" s="2849"/>
      <c r="J403" s="2850"/>
      <c r="K403" s="2812"/>
      <c r="L403" s="2812"/>
      <c r="M403" s="2812"/>
      <c r="N403" s="2871">
        <f>N405</f>
        <v>874.66700000000003</v>
      </c>
      <c r="O403" s="2812"/>
      <c r="P403" s="2812"/>
      <c r="Q403" s="2812"/>
      <c r="R403" s="2812"/>
      <c r="S403" s="2812"/>
      <c r="T403" s="2812"/>
      <c r="U403" s="2848">
        <f>U405</f>
        <v>0</v>
      </c>
    </row>
    <row r="404" spans="1:26" ht="22" customHeight="1" x14ac:dyDescent="0.25">
      <c r="A404" s="732"/>
      <c r="B404" s="1242" t="s">
        <v>1048</v>
      </c>
      <c r="C404" s="1193"/>
      <c r="D404" s="1217" t="s">
        <v>463</v>
      </c>
      <c r="E404" s="1217" t="s">
        <v>495</v>
      </c>
      <c r="F404" s="2044" t="s">
        <v>1328</v>
      </c>
      <c r="G404" s="1663" t="s">
        <v>955</v>
      </c>
      <c r="H404" s="2848">
        <f>H405</f>
        <v>1170.1120000000001</v>
      </c>
      <c r="I404" s="2849"/>
      <c r="J404" s="2850"/>
      <c r="K404" s="2812"/>
      <c r="L404" s="2812"/>
      <c r="M404" s="2812"/>
      <c r="N404" s="2871">
        <f>N405</f>
        <v>874.66700000000003</v>
      </c>
      <c r="O404" s="2812"/>
      <c r="P404" s="2812"/>
      <c r="Q404" s="2812"/>
      <c r="R404" s="2812"/>
      <c r="S404" s="2812"/>
      <c r="T404" s="2812"/>
      <c r="U404" s="2848">
        <f>U405</f>
        <v>0</v>
      </c>
    </row>
    <row r="405" spans="1:26" ht="30.75" customHeight="1" x14ac:dyDescent="0.25">
      <c r="A405" s="732"/>
      <c r="B405" s="1182" t="s">
        <v>4</v>
      </c>
      <c r="C405" s="1193"/>
      <c r="D405" s="1217" t="s">
        <v>463</v>
      </c>
      <c r="E405" s="1217" t="s">
        <v>495</v>
      </c>
      <c r="F405" s="2044" t="s">
        <v>1328</v>
      </c>
      <c r="G405" s="1663" t="s">
        <v>1</v>
      </c>
      <c r="H405" s="2848">
        <f>1230.112-60</f>
        <v>1170.1120000000001</v>
      </c>
      <c r="I405" s="2849"/>
      <c r="J405" s="2850"/>
      <c r="K405" s="2812"/>
      <c r="L405" s="2812"/>
      <c r="M405" s="2812"/>
      <c r="N405" s="2871">
        <v>874.66700000000003</v>
      </c>
      <c r="O405" s="2812"/>
      <c r="P405" s="2812"/>
      <c r="Q405" s="2812"/>
      <c r="R405" s="2812"/>
      <c r="S405" s="2812"/>
      <c r="T405" s="2812"/>
      <c r="U405" s="2848">
        <v>0</v>
      </c>
      <c r="Z405" s="1">
        <v>643.25</v>
      </c>
    </row>
    <row r="406" spans="1:26" ht="37" customHeight="1" x14ac:dyDescent="0.25">
      <c r="A406" s="732"/>
      <c r="B406" s="1872" t="s">
        <v>1095</v>
      </c>
      <c r="C406" s="409"/>
      <c r="D406" s="1248" t="s">
        <v>463</v>
      </c>
      <c r="E406" s="1248" t="s">
        <v>495</v>
      </c>
      <c r="F406" s="409" t="s">
        <v>952</v>
      </c>
      <c r="G406" s="1667"/>
      <c r="H406" s="2848">
        <f>H407+H412+H417</f>
        <v>9848.8388100000011</v>
      </c>
      <c r="I406" s="2849"/>
      <c r="J406" s="2850"/>
      <c r="K406" s="2812"/>
      <c r="L406" s="2812"/>
      <c r="M406" s="2812"/>
      <c r="N406" s="2871">
        <f>N421+N424</f>
        <v>901</v>
      </c>
      <c r="O406" s="2812"/>
      <c r="P406" s="2812"/>
      <c r="Q406" s="2812"/>
      <c r="R406" s="2812"/>
      <c r="S406" s="2812"/>
      <c r="T406" s="2812"/>
      <c r="U406" s="2848">
        <f>U421+U424</f>
        <v>2000</v>
      </c>
    </row>
    <row r="407" spans="1:26" ht="37" customHeight="1" x14ac:dyDescent="0.25">
      <c r="A407" s="732"/>
      <c r="B407" s="2009" t="s">
        <v>1340</v>
      </c>
      <c r="C407" s="409"/>
      <c r="D407" s="1217" t="s">
        <v>463</v>
      </c>
      <c r="E407" s="1217" t="s">
        <v>495</v>
      </c>
      <c r="F407" s="409" t="s">
        <v>1339</v>
      </c>
      <c r="G407" s="1662"/>
      <c r="H407" s="2848">
        <f>H408</f>
        <v>9748.8388100000011</v>
      </c>
      <c r="I407" s="2849"/>
      <c r="J407" s="2850"/>
      <c r="K407" s="2812"/>
      <c r="L407" s="2812"/>
      <c r="M407" s="2812"/>
      <c r="N407" s="2871">
        <f t="shared" ref="N407" si="88">N408</f>
        <v>901</v>
      </c>
      <c r="O407" s="2812">
        <f t="shared" ref="O407" si="89">O408</f>
        <v>0</v>
      </c>
      <c r="P407" s="2812">
        <f t="shared" ref="P407" si="90">P408</f>
        <v>0</v>
      </c>
      <c r="Q407" s="2812">
        <f t="shared" ref="Q407" si="91">Q408</f>
        <v>0</v>
      </c>
      <c r="R407" s="2812">
        <f t="shared" ref="R407" si="92">R408</f>
        <v>0</v>
      </c>
      <c r="S407" s="2812">
        <f t="shared" ref="S407" si="93">S408</f>
        <v>0</v>
      </c>
      <c r="T407" s="2812">
        <f t="shared" ref="T407" si="94">T408</f>
        <v>0</v>
      </c>
      <c r="U407" s="2848">
        <f t="shared" ref="U407" si="95">U408</f>
        <v>1000</v>
      </c>
    </row>
    <row r="408" spans="1:26" ht="37" customHeight="1" x14ac:dyDescent="0.25">
      <c r="A408" s="732"/>
      <c r="B408" s="2009" t="s">
        <v>1019</v>
      </c>
      <c r="C408" s="409"/>
      <c r="D408" s="1217" t="s">
        <v>463</v>
      </c>
      <c r="E408" s="1217" t="s">
        <v>495</v>
      </c>
      <c r="F408" s="409" t="s">
        <v>1338</v>
      </c>
      <c r="G408" s="1668"/>
      <c r="H408" s="2848">
        <f>H409</f>
        <v>9748.8388100000011</v>
      </c>
      <c r="I408" s="2849"/>
      <c r="J408" s="2850"/>
      <c r="K408" s="2812"/>
      <c r="L408" s="2812"/>
      <c r="M408" s="2812"/>
      <c r="N408" s="2871">
        <f>N409</f>
        <v>901</v>
      </c>
      <c r="O408" s="2812"/>
      <c r="P408" s="2812"/>
      <c r="Q408" s="2812"/>
      <c r="R408" s="2812"/>
      <c r="S408" s="2812"/>
      <c r="T408" s="2812"/>
      <c r="U408" s="2848">
        <f>U409</f>
        <v>1000</v>
      </c>
    </row>
    <row r="409" spans="1:26" ht="37" customHeight="1" x14ac:dyDescent="0.25">
      <c r="A409" s="732"/>
      <c r="B409" s="753" t="s">
        <v>1021</v>
      </c>
      <c r="C409" s="409"/>
      <c r="D409" s="409" t="s">
        <v>463</v>
      </c>
      <c r="E409" s="409" t="s">
        <v>495</v>
      </c>
      <c r="F409" s="1864" t="s">
        <v>1337</v>
      </c>
      <c r="G409" s="1875"/>
      <c r="H409" s="2848">
        <f>H411</f>
        <v>9748.8388100000011</v>
      </c>
      <c r="I409" s="2849"/>
      <c r="J409" s="2850"/>
      <c r="K409" s="2812"/>
      <c r="L409" s="2812"/>
      <c r="M409" s="2812"/>
      <c r="N409" s="2871">
        <f>N411</f>
        <v>901</v>
      </c>
      <c r="O409" s="2812"/>
      <c r="P409" s="2812"/>
      <c r="Q409" s="2812"/>
      <c r="R409" s="2812"/>
      <c r="S409" s="2812"/>
      <c r="T409" s="2812"/>
      <c r="U409" s="2848">
        <f>U411</f>
        <v>1000</v>
      </c>
    </row>
    <row r="410" spans="1:26" ht="37" customHeight="1" x14ac:dyDescent="0.25">
      <c r="A410" s="732"/>
      <c r="B410" s="753" t="s">
        <v>948</v>
      </c>
      <c r="C410" s="409"/>
      <c r="D410" s="1217" t="s">
        <v>463</v>
      </c>
      <c r="E410" s="1217" t="s">
        <v>495</v>
      </c>
      <c r="F410" s="1864" t="s">
        <v>1337</v>
      </c>
      <c r="G410" s="1876" t="s">
        <v>955</v>
      </c>
      <c r="H410" s="2848">
        <f>H411</f>
        <v>9748.8388100000011</v>
      </c>
      <c r="I410" s="2849"/>
      <c r="J410" s="2850"/>
      <c r="K410" s="2812"/>
      <c r="L410" s="2812"/>
      <c r="M410" s="2812"/>
      <c r="N410" s="2871">
        <f>N411</f>
        <v>901</v>
      </c>
      <c r="O410" s="2812"/>
      <c r="P410" s="2812"/>
      <c r="Q410" s="2812"/>
      <c r="R410" s="2812"/>
      <c r="S410" s="2812"/>
      <c r="T410" s="2812"/>
      <c r="U410" s="2848">
        <f>U411</f>
        <v>1000</v>
      </c>
    </row>
    <row r="411" spans="1:26" ht="37" customHeight="1" x14ac:dyDescent="0.25">
      <c r="A411" s="732"/>
      <c r="B411" s="1182" t="s">
        <v>454</v>
      </c>
      <c r="C411" s="409"/>
      <c r="D411" s="409" t="s">
        <v>463</v>
      </c>
      <c r="E411" s="409" t="s">
        <v>495</v>
      </c>
      <c r="F411" s="1864" t="s">
        <v>1337</v>
      </c>
      <c r="G411" s="1662" t="s">
        <v>1</v>
      </c>
      <c r="H411" s="2848">
        <f>974.8839+100-100+2755.02184+6018.93307</f>
        <v>9748.8388100000011</v>
      </c>
      <c r="I411" s="2849"/>
      <c r="J411" s="2850"/>
      <c r="K411" s="2812"/>
      <c r="L411" s="2812"/>
      <c r="M411" s="2812"/>
      <c r="N411" s="2871">
        <v>901</v>
      </c>
      <c r="O411" s="2812"/>
      <c r="P411" s="2812"/>
      <c r="Q411" s="2812"/>
      <c r="R411" s="2812"/>
      <c r="S411" s="2812"/>
      <c r="T411" s="2812"/>
      <c r="U411" s="2848">
        <f>1000</f>
        <v>1000</v>
      </c>
    </row>
    <row r="412" spans="1:26" ht="37" customHeight="1" x14ac:dyDescent="0.25">
      <c r="A412" s="732"/>
      <c r="B412" s="2984" t="s">
        <v>1263</v>
      </c>
      <c r="C412" s="409"/>
      <c r="D412" s="409" t="s">
        <v>463</v>
      </c>
      <c r="E412" s="409" t="s">
        <v>495</v>
      </c>
      <c r="F412" s="409" t="s">
        <v>1362</v>
      </c>
      <c r="G412" s="1662"/>
      <c r="H412" s="2848">
        <f>H413</f>
        <v>100</v>
      </c>
      <c r="I412" s="2849"/>
      <c r="J412" s="2850"/>
      <c r="K412" s="2812"/>
      <c r="L412" s="2812"/>
      <c r="M412" s="2812"/>
      <c r="N412" s="2848">
        <f>N413</f>
        <v>0</v>
      </c>
      <c r="O412" s="2812"/>
      <c r="P412" s="2812"/>
      <c r="Q412" s="2812"/>
      <c r="R412" s="2812"/>
      <c r="S412" s="2812"/>
      <c r="T412" s="2812"/>
      <c r="U412" s="2848">
        <f>U413</f>
        <v>0</v>
      </c>
    </row>
    <row r="413" spans="1:26" ht="37" customHeight="1" x14ac:dyDescent="0.25">
      <c r="A413" s="732"/>
      <c r="B413" s="1182" t="s">
        <v>1365</v>
      </c>
      <c r="C413" s="409"/>
      <c r="D413" s="409" t="s">
        <v>463</v>
      </c>
      <c r="E413" s="409" t="s">
        <v>495</v>
      </c>
      <c r="F413" s="409" t="s">
        <v>1363</v>
      </c>
      <c r="G413" s="1662"/>
      <c r="H413" s="2848">
        <f>H414</f>
        <v>100</v>
      </c>
      <c r="I413" s="2849"/>
      <c r="J413" s="2850"/>
      <c r="K413" s="2812"/>
      <c r="L413" s="2812"/>
      <c r="M413" s="2812"/>
      <c r="N413" s="2848">
        <f>N414</f>
        <v>0</v>
      </c>
      <c r="O413" s="2812"/>
      <c r="P413" s="2812"/>
      <c r="Q413" s="2812"/>
      <c r="R413" s="2812"/>
      <c r="S413" s="2812"/>
      <c r="T413" s="2812"/>
      <c r="U413" s="2848">
        <f>U414</f>
        <v>0</v>
      </c>
    </row>
    <row r="414" spans="1:26" ht="37" customHeight="1" x14ac:dyDescent="0.25">
      <c r="A414" s="732"/>
      <c r="B414" s="1182" t="s">
        <v>1366</v>
      </c>
      <c r="C414" s="409"/>
      <c r="D414" s="409" t="s">
        <v>463</v>
      </c>
      <c r="E414" s="409" t="s">
        <v>495</v>
      </c>
      <c r="F414" s="409" t="s">
        <v>1364</v>
      </c>
      <c r="G414" s="1662"/>
      <c r="H414" s="2848">
        <f>H415</f>
        <v>100</v>
      </c>
      <c r="I414" s="2849"/>
      <c r="J414" s="2850"/>
      <c r="K414" s="2812"/>
      <c r="L414" s="2812"/>
      <c r="M414" s="2812"/>
      <c r="N414" s="2848">
        <f>N415</f>
        <v>0</v>
      </c>
      <c r="O414" s="2812"/>
      <c r="P414" s="2812"/>
      <c r="Q414" s="2812"/>
      <c r="R414" s="2812"/>
      <c r="S414" s="2812"/>
      <c r="T414" s="2812"/>
      <c r="U414" s="2848">
        <f>U415</f>
        <v>0</v>
      </c>
    </row>
    <row r="415" spans="1:26" ht="37" customHeight="1" x14ac:dyDescent="0.25">
      <c r="A415" s="732"/>
      <c r="B415" s="753" t="s">
        <v>948</v>
      </c>
      <c r="C415" s="409"/>
      <c r="D415" s="409" t="s">
        <v>463</v>
      </c>
      <c r="E415" s="409" t="s">
        <v>495</v>
      </c>
      <c r="F415" s="409" t="s">
        <v>1364</v>
      </c>
      <c r="G415" s="1876" t="s">
        <v>955</v>
      </c>
      <c r="H415" s="2848">
        <f>H416</f>
        <v>100</v>
      </c>
      <c r="I415" s="2849"/>
      <c r="J415" s="2850"/>
      <c r="K415" s="2812"/>
      <c r="L415" s="2812"/>
      <c r="M415" s="2812"/>
      <c r="N415" s="2848">
        <f>N416</f>
        <v>0</v>
      </c>
      <c r="O415" s="2812"/>
      <c r="P415" s="2812"/>
      <c r="Q415" s="2812"/>
      <c r="R415" s="2812"/>
      <c r="S415" s="2812"/>
      <c r="T415" s="2812"/>
      <c r="U415" s="2848">
        <f>U416</f>
        <v>0</v>
      </c>
    </row>
    <row r="416" spans="1:26" ht="37" customHeight="1" x14ac:dyDescent="0.25">
      <c r="A416" s="732"/>
      <c r="B416" s="1182" t="s">
        <v>454</v>
      </c>
      <c r="C416" s="409"/>
      <c r="D416" s="409" t="s">
        <v>463</v>
      </c>
      <c r="E416" s="409" t="s">
        <v>495</v>
      </c>
      <c r="F416" s="409" t="s">
        <v>1364</v>
      </c>
      <c r="G416" s="1662" t="s">
        <v>1</v>
      </c>
      <c r="H416" s="2848">
        <v>100</v>
      </c>
      <c r="I416" s="2849"/>
      <c r="J416" s="2850"/>
      <c r="K416" s="2812"/>
      <c r="L416" s="2812"/>
      <c r="M416" s="2812"/>
      <c r="N416" s="2871">
        <v>0</v>
      </c>
      <c r="O416" s="2812"/>
      <c r="P416" s="2812"/>
      <c r="Q416" s="2812"/>
      <c r="R416" s="2812"/>
      <c r="S416" s="2812"/>
      <c r="T416" s="2812"/>
      <c r="U416" s="2848">
        <v>0</v>
      </c>
    </row>
    <row r="417" spans="1:21" ht="37" customHeight="1" x14ac:dyDescent="0.25">
      <c r="A417" s="732"/>
      <c r="B417" s="2009" t="s">
        <v>1297</v>
      </c>
      <c r="C417" s="409"/>
      <c r="D417" s="1531" t="s">
        <v>463</v>
      </c>
      <c r="E417" s="1531" t="s">
        <v>495</v>
      </c>
      <c r="F417" s="409" t="s">
        <v>1335</v>
      </c>
      <c r="G417" s="1667"/>
      <c r="H417" s="2848">
        <f>H418</f>
        <v>0</v>
      </c>
      <c r="I417" s="2849"/>
      <c r="J417" s="2850"/>
      <c r="K417" s="2812"/>
      <c r="L417" s="2812"/>
      <c r="M417" s="2812"/>
      <c r="N417" s="2871">
        <f t="shared" ref="N417:U417" si="96">N418</f>
        <v>0</v>
      </c>
      <c r="O417" s="2812">
        <f t="shared" si="96"/>
        <v>0</v>
      </c>
      <c r="P417" s="2812">
        <f t="shared" si="96"/>
        <v>0</v>
      </c>
      <c r="Q417" s="2812">
        <f t="shared" si="96"/>
        <v>0</v>
      </c>
      <c r="R417" s="2812">
        <f t="shared" si="96"/>
        <v>0</v>
      </c>
      <c r="S417" s="2812">
        <f t="shared" si="96"/>
        <v>0</v>
      </c>
      <c r="T417" s="2812">
        <f t="shared" si="96"/>
        <v>0</v>
      </c>
      <c r="U417" s="2848">
        <f t="shared" si="96"/>
        <v>1000</v>
      </c>
    </row>
    <row r="418" spans="1:21" ht="30.75" customHeight="1" x14ac:dyDescent="0.25">
      <c r="A418" s="732"/>
      <c r="B418" s="2009" t="s">
        <v>1336</v>
      </c>
      <c r="C418" s="409"/>
      <c r="D418" s="409" t="s">
        <v>463</v>
      </c>
      <c r="E418" s="409" t="s">
        <v>495</v>
      </c>
      <c r="F418" s="409" t="s">
        <v>1334</v>
      </c>
      <c r="G418" s="1668"/>
      <c r="H418" s="2848">
        <f>H419</f>
        <v>0</v>
      </c>
      <c r="I418" s="2849"/>
      <c r="J418" s="2850"/>
      <c r="K418" s="2812"/>
      <c r="L418" s="2812"/>
      <c r="M418" s="2812"/>
      <c r="N418" s="2871">
        <f>N419</f>
        <v>0</v>
      </c>
      <c r="O418" s="2812"/>
      <c r="P418" s="2812"/>
      <c r="Q418" s="2812"/>
      <c r="R418" s="2812"/>
      <c r="S418" s="2812"/>
      <c r="T418" s="2812"/>
      <c r="U418" s="2848">
        <f>U419</f>
        <v>1000</v>
      </c>
    </row>
    <row r="419" spans="1:21" ht="30.75" customHeight="1" x14ac:dyDescent="0.25">
      <c r="A419" s="732"/>
      <c r="B419" s="1874" t="s">
        <v>1248</v>
      </c>
      <c r="C419" s="409"/>
      <c r="D419" s="409" t="s">
        <v>463</v>
      </c>
      <c r="E419" s="409" t="s">
        <v>495</v>
      </c>
      <c r="F419" s="409" t="s">
        <v>1332</v>
      </c>
      <c r="G419" s="1875"/>
      <c r="H419" s="2848">
        <f>H420</f>
        <v>0</v>
      </c>
      <c r="I419" s="2849"/>
      <c r="J419" s="2850"/>
      <c r="K419" s="2812"/>
      <c r="L419" s="2812"/>
      <c r="M419" s="2812"/>
      <c r="N419" s="2871">
        <f>N420</f>
        <v>0</v>
      </c>
      <c r="O419" s="2812"/>
      <c r="P419" s="2812"/>
      <c r="Q419" s="2812"/>
      <c r="R419" s="2812"/>
      <c r="S419" s="2812"/>
      <c r="T419" s="2812"/>
      <c r="U419" s="2848">
        <f>U420</f>
        <v>1000</v>
      </c>
    </row>
    <row r="420" spans="1:21" ht="30.75" customHeight="1" x14ac:dyDescent="0.25">
      <c r="A420" s="732"/>
      <c r="B420" s="753" t="s">
        <v>948</v>
      </c>
      <c r="C420" s="409"/>
      <c r="D420" s="1217" t="s">
        <v>463</v>
      </c>
      <c r="E420" s="1217" t="s">
        <v>495</v>
      </c>
      <c r="F420" s="409" t="s">
        <v>1332</v>
      </c>
      <c r="G420" s="1876" t="s">
        <v>955</v>
      </c>
      <c r="H420" s="2848">
        <f>H421</f>
        <v>0</v>
      </c>
      <c r="I420" s="2849"/>
      <c r="J420" s="2850"/>
      <c r="K420" s="2812"/>
      <c r="L420" s="2812"/>
      <c r="M420" s="2812"/>
      <c r="N420" s="2871">
        <f>N421</f>
        <v>0</v>
      </c>
      <c r="O420" s="2812"/>
      <c r="P420" s="2812"/>
      <c r="Q420" s="2812"/>
      <c r="R420" s="2812"/>
      <c r="S420" s="2812"/>
      <c r="T420" s="2812"/>
      <c r="U420" s="2848">
        <f>U421</f>
        <v>1000</v>
      </c>
    </row>
    <row r="421" spans="1:21" ht="30.75" customHeight="1" x14ac:dyDescent="0.25">
      <c r="A421" s="732"/>
      <c r="B421" s="1182" t="s">
        <v>454</v>
      </c>
      <c r="C421" s="409"/>
      <c r="D421" s="1217" t="s">
        <v>463</v>
      </c>
      <c r="E421" s="1217" t="s">
        <v>495</v>
      </c>
      <c r="F421" s="409" t="s">
        <v>1332</v>
      </c>
      <c r="G421" s="1662" t="s">
        <v>1</v>
      </c>
      <c r="H421" s="2848">
        <f>H422</f>
        <v>0</v>
      </c>
      <c r="I421" s="2849"/>
      <c r="J421" s="2850"/>
      <c r="K421" s="2812">
        <v>450</v>
      </c>
      <c r="L421" s="2812"/>
      <c r="M421" s="2812"/>
      <c r="N421" s="2871">
        <f>N422</f>
        <v>0</v>
      </c>
      <c r="O421" s="2812"/>
      <c r="P421" s="2812"/>
      <c r="Q421" s="2812"/>
      <c r="R421" s="2812"/>
      <c r="S421" s="2812"/>
      <c r="T421" s="2812"/>
      <c r="U421" s="2848">
        <f>U422</f>
        <v>1000</v>
      </c>
    </row>
    <row r="422" spans="1:21" ht="30.75" hidden="1" customHeight="1" x14ac:dyDescent="0.25">
      <c r="A422" s="732"/>
      <c r="B422" s="1182" t="s">
        <v>1137</v>
      </c>
      <c r="C422" s="409"/>
      <c r="D422" s="1217" t="s">
        <v>463</v>
      </c>
      <c r="E422" s="1217" t="s">
        <v>495</v>
      </c>
      <c r="F422" s="409" t="s">
        <v>1332</v>
      </c>
      <c r="G422" s="1662" t="s">
        <v>1</v>
      </c>
      <c r="H422" s="2848">
        <v>0</v>
      </c>
      <c r="I422" s="2849"/>
      <c r="J422" s="2850"/>
      <c r="K422" s="2812"/>
      <c r="L422" s="2812"/>
      <c r="M422" s="2812"/>
      <c r="N422" s="2871">
        <v>0</v>
      </c>
      <c r="O422" s="2812"/>
      <c r="P422" s="2812"/>
      <c r="Q422" s="2812"/>
      <c r="R422" s="2812"/>
      <c r="S422" s="2812"/>
      <c r="T422" s="2812"/>
      <c r="U422" s="2848">
        <v>1000</v>
      </c>
    </row>
    <row r="423" spans="1:21" ht="30.75" hidden="1" customHeight="1" x14ac:dyDescent="0.25">
      <c r="A423" s="732"/>
      <c r="B423" s="2009" t="s">
        <v>1340</v>
      </c>
      <c r="C423" s="409"/>
      <c r="D423" s="1217"/>
      <c r="E423" s="1217"/>
      <c r="F423" s="409" t="s">
        <v>1339</v>
      </c>
      <c r="G423" s="1662"/>
      <c r="H423" s="2848">
        <f>H424</f>
        <v>1074.8839</v>
      </c>
      <c r="I423" s="2849"/>
      <c r="J423" s="2850"/>
      <c r="K423" s="2812"/>
      <c r="L423" s="2812"/>
      <c r="M423" s="2812"/>
      <c r="N423" s="2871">
        <f t="shared" ref="N423:U423" si="97">N424</f>
        <v>901</v>
      </c>
      <c r="O423" s="2812">
        <f t="shared" si="97"/>
        <v>0</v>
      </c>
      <c r="P423" s="2812">
        <f t="shared" si="97"/>
        <v>0</v>
      </c>
      <c r="Q423" s="2812">
        <f t="shared" si="97"/>
        <v>0</v>
      </c>
      <c r="R423" s="2812">
        <f t="shared" si="97"/>
        <v>0</v>
      </c>
      <c r="S423" s="2812">
        <f t="shared" si="97"/>
        <v>0</v>
      </c>
      <c r="T423" s="2812">
        <f t="shared" si="97"/>
        <v>0</v>
      </c>
      <c r="U423" s="2848">
        <f t="shared" si="97"/>
        <v>1000</v>
      </c>
    </row>
    <row r="424" spans="1:21" ht="30.75" hidden="1" customHeight="1" x14ac:dyDescent="0.25">
      <c r="A424" s="732"/>
      <c r="B424" s="2009" t="s">
        <v>1019</v>
      </c>
      <c r="C424" s="409"/>
      <c r="D424" s="1217" t="s">
        <v>463</v>
      </c>
      <c r="E424" s="1217" t="s">
        <v>495</v>
      </c>
      <c r="F424" s="409" t="s">
        <v>1338</v>
      </c>
      <c r="G424" s="1668"/>
      <c r="H424" s="2848">
        <f>H425</f>
        <v>1074.8839</v>
      </c>
      <c r="I424" s="2849"/>
      <c r="J424" s="2850"/>
      <c r="K424" s="2812"/>
      <c r="L424" s="2812"/>
      <c r="M424" s="2812"/>
      <c r="N424" s="2871">
        <f>N425</f>
        <v>901</v>
      </c>
      <c r="O424" s="2812"/>
      <c r="P424" s="2812"/>
      <c r="Q424" s="2812"/>
      <c r="R424" s="2812"/>
      <c r="S424" s="2812"/>
      <c r="T424" s="2812"/>
      <c r="U424" s="2848">
        <f>U425</f>
        <v>1000</v>
      </c>
    </row>
    <row r="425" spans="1:21" ht="30.75" hidden="1" customHeight="1" x14ac:dyDescent="0.25">
      <c r="A425" s="732"/>
      <c r="B425" s="753" t="s">
        <v>1021</v>
      </c>
      <c r="C425" s="409"/>
      <c r="D425" s="409" t="s">
        <v>463</v>
      </c>
      <c r="E425" s="409" t="s">
        <v>495</v>
      </c>
      <c r="F425" s="1864" t="s">
        <v>1337</v>
      </c>
      <c r="G425" s="1875"/>
      <c r="H425" s="2848">
        <f>H427</f>
        <v>1074.8839</v>
      </c>
      <c r="I425" s="2849"/>
      <c r="J425" s="2850"/>
      <c r="K425" s="2812"/>
      <c r="L425" s="2812"/>
      <c r="M425" s="2812"/>
      <c r="N425" s="2871">
        <f>N427</f>
        <v>901</v>
      </c>
      <c r="O425" s="2812"/>
      <c r="P425" s="2812"/>
      <c r="Q425" s="2812"/>
      <c r="R425" s="2812"/>
      <c r="S425" s="2812"/>
      <c r="T425" s="2812"/>
      <c r="U425" s="2848">
        <f>U427</f>
        <v>1000</v>
      </c>
    </row>
    <row r="426" spans="1:21" ht="23.5" hidden="1" customHeight="1" x14ac:dyDescent="0.25">
      <c r="A426" s="732"/>
      <c r="B426" s="753" t="s">
        <v>948</v>
      </c>
      <c r="C426" s="409"/>
      <c r="D426" s="1217" t="s">
        <v>463</v>
      </c>
      <c r="E426" s="1217" t="s">
        <v>495</v>
      </c>
      <c r="F426" s="1864" t="s">
        <v>1337</v>
      </c>
      <c r="G426" s="1876" t="s">
        <v>955</v>
      </c>
      <c r="H426" s="2848">
        <f>H427</f>
        <v>1074.8839</v>
      </c>
      <c r="I426" s="2849"/>
      <c r="J426" s="2850"/>
      <c r="K426" s="2812"/>
      <c r="L426" s="2812"/>
      <c r="M426" s="2812"/>
      <c r="N426" s="2871">
        <f>N427</f>
        <v>901</v>
      </c>
      <c r="O426" s="2812"/>
      <c r="P426" s="2812"/>
      <c r="Q426" s="2812"/>
      <c r="R426" s="2812"/>
      <c r="S426" s="2812"/>
      <c r="T426" s="2812"/>
      <c r="U426" s="2848">
        <f>U427</f>
        <v>1000</v>
      </c>
    </row>
    <row r="427" spans="1:21" ht="30.75" hidden="1" customHeight="1" x14ac:dyDescent="0.25">
      <c r="A427" s="732"/>
      <c r="B427" s="1182" t="s">
        <v>454</v>
      </c>
      <c r="C427" s="409"/>
      <c r="D427" s="409" t="s">
        <v>463</v>
      </c>
      <c r="E427" s="409" t="s">
        <v>495</v>
      </c>
      <c r="F427" s="1864" t="s">
        <v>1337</v>
      </c>
      <c r="G427" s="1662" t="s">
        <v>1</v>
      </c>
      <c r="H427" s="2848">
        <f>974.8839+100</f>
        <v>1074.8839</v>
      </c>
      <c r="I427" s="2849"/>
      <c r="J427" s="2850"/>
      <c r="K427" s="2812"/>
      <c r="L427" s="2812"/>
      <c r="M427" s="2812"/>
      <c r="N427" s="2871">
        <v>901</v>
      </c>
      <c r="O427" s="2812"/>
      <c r="P427" s="2812"/>
      <c r="Q427" s="2812"/>
      <c r="R427" s="2812"/>
      <c r="S427" s="2812"/>
      <c r="T427" s="2812"/>
      <c r="U427" s="2848">
        <f>1000</f>
        <v>1000</v>
      </c>
    </row>
    <row r="428" spans="1:21" ht="30.75" customHeight="1" x14ac:dyDescent="0.25">
      <c r="A428" s="732"/>
      <c r="B428" s="1872" t="s">
        <v>1067</v>
      </c>
      <c r="C428" s="1193"/>
      <c r="D428" s="1531" t="s">
        <v>463</v>
      </c>
      <c r="E428" s="1531" t="s">
        <v>495</v>
      </c>
      <c r="F428" s="409" t="s">
        <v>1014</v>
      </c>
      <c r="G428" s="1663"/>
      <c r="H428" s="2848">
        <f>H430</f>
        <v>478.44499999999999</v>
      </c>
      <c r="I428" s="2849"/>
      <c r="J428" s="2850"/>
      <c r="K428" s="2812"/>
      <c r="L428" s="2812"/>
      <c r="M428" s="2812"/>
      <c r="N428" s="2871">
        <f>N430</f>
        <v>190</v>
      </c>
      <c r="O428" s="2812"/>
      <c r="P428" s="2812"/>
      <c r="Q428" s="2812"/>
      <c r="R428" s="2812"/>
      <c r="S428" s="2812"/>
      <c r="T428" s="2812"/>
      <c r="U428" s="2848">
        <f>U430</f>
        <v>150</v>
      </c>
    </row>
    <row r="429" spans="1:21" ht="30.75" customHeight="1" x14ac:dyDescent="0.25">
      <c r="A429" s="732"/>
      <c r="B429" s="2269" t="s">
        <v>1263</v>
      </c>
      <c r="C429" s="1193"/>
      <c r="D429" s="1531" t="s">
        <v>463</v>
      </c>
      <c r="E429" s="1531" t="s">
        <v>495</v>
      </c>
      <c r="F429" s="409" t="s">
        <v>1343</v>
      </c>
      <c r="G429" s="1663"/>
      <c r="H429" s="2848">
        <f>H430</f>
        <v>478.44499999999999</v>
      </c>
      <c r="I429" s="2849"/>
      <c r="J429" s="2850"/>
      <c r="K429" s="2812"/>
      <c r="L429" s="2812"/>
      <c r="M429" s="2812"/>
      <c r="N429" s="2871">
        <f t="shared" ref="N429:U429" si="98">N430</f>
        <v>190</v>
      </c>
      <c r="O429" s="2812">
        <f t="shared" si="98"/>
        <v>0</v>
      </c>
      <c r="P429" s="2812">
        <f t="shared" si="98"/>
        <v>0</v>
      </c>
      <c r="Q429" s="2812">
        <f t="shared" si="98"/>
        <v>0</v>
      </c>
      <c r="R429" s="2812">
        <f t="shared" si="98"/>
        <v>0</v>
      </c>
      <c r="S429" s="2812">
        <f t="shared" si="98"/>
        <v>0</v>
      </c>
      <c r="T429" s="2812">
        <f t="shared" si="98"/>
        <v>0</v>
      </c>
      <c r="U429" s="2848">
        <f t="shared" si="98"/>
        <v>150</v>
      </c>
    </row>
    <row r="430" spans="1:21" ht="30.75" customHeight="1" x14ac:dyDescent="0.25">
      <c r="A430" s="732"/>
      <c r="B430" s="2067" t="s">
        <v>1318</v>
      </c>
      <c r="C430" s="1193"/>
      <c r="D430" s="1531" t="s">
        <v>463</v>
      </c>
      <c r="E430" s="1531" t="s">
        <v>495</v>
      </c>
      <c r="F430" s="409" t="s">
        <v>1342</v>
      </c>
      <c r="G430" s="1663"/>
      <c r="H430" s="2848">
        <f>H434+H433</f>
        <v>478.44499999999999</v>
      </c>
      <c r="I430" s="2849"/>
      <c r="J430" s="2850"/>
      <c r="K430" s="2812"/>
      <c r="L430" s="2812"/>
      <c r="M430" s="2812"/>
      <c r="N430" s="2871">
        <f>N434</f>
        <v>190</v>
      </c>
      <c r="O430" s="2812"/>
      <c r="P430" s="2812"/>
      <c r="Q430" s="2812"/>
      <c r="R430" s="2812"/>
      <c r="S430" s="2812"/>
      <c r="T430" s="2812"/>
      <c r="U430" s="2848">
        <f>U434</f>
        <v>150</v>
      </c>
    </row>
    <row r="431" spans="1:21" ht="30.75" customHeight="1" x14ac:dyDescent="0.25">
      <c r="A431" s="732"/>
      <c r="B431" s="2067" t="s">
        <v>1368</v>
      </c>
      <c r="C431" s="1193"/>
      <c r="D431" s="1531" t="s">
        <v>463</v>
      </c>
      <c r="E431" s="1531" t="s">
        <v>495</v>
      </c>
      <c r="F431" s="409" t="s">
        <v>1367</v>
      </c>
      <c r="G431" s="1663"/>
      <c r="H431" s="2848">
        <f>H432</f>
        <v>20</v>
      </c>
      <c r="I431" s="2849"/>
      <c r="J431" s="2850"/>
      <c r="K431" s="2812"/>
      <c r="L431" s="2812"/>
      <c r="M431" s="2812"/>
      <c r="N431" s="2848">
        <f>N432</f>
        <v>0</v>
      </c>
      <c r="O431" s="2812"/>
      <c r="P431" s="2812"/>
      <c r="Q431" s="2812"/>
      <c r="R431" s="2812"/>
      <c r="S431" s="2812"/>
      <c r="T431" s="2812"/>
      <c r="U431" s="2848">
        <f>U432</f>
        <v>0</v>
      </c>
    </row>
    <row r="432" spans="1:21" ht="30.75" customHeight="1" x14ac:dyDescent="0.25">
      <c r="A432" s="732"/>
      <c r="B432" s="753" t="s">
        <v>948</v>
      </c>
      <c r="C432" s="1193"/>
      <c r="D432" s="1531" t="s">
        <v>463</v>
      </c>
      <c r="E432" s="1531" t="s">
        <v>495</v>
      </c>
      <c r="F432" s="409" t="s">
        <v>1367</v>
      </c>
      <c r="G432" s="1663" t="s">
        <v>955</v>
      </c>
      <c r="H432" s="2848">
        <f>H433</f>
        <v>20</v>
      </c>
      <c r="I432" s="2849"/>
      <c r="J432" s="2850"/>
      <c r="K432" s="2812"/>
      <c r="L432" s="2812"/>
      <c r="M432" s="2812"/>
      <c r="N432" s="2848">
        <f>N433</f>
        <v>0</v>
      </c>
      <c r="O432" s="2812"/>
      <c r="P432" s="2812"/>
      <c r="Q432" s="2812"/>
      <c r="R432" s="2812"/>
      <c r="S432" s="2812"/>
      <c r="T432" s="2812"/>
      <c r="U432" s="2848">
        <f>U433</f>
        <v>0</v>
      </c>
    </row>
    <row r="433" spans="1:26" ht="30.75" customHeight="1" x14ac:dyDescent="0.25">
      <c r="A433" s="732"/>
      <c r="B433" s="1182" t="s">
        <v>454</v>
      </c>
      <c r="C433" s="1193"/>
      <c r="D433" s="1531" t="s">
        <v>463</v>
      </c>
      <c r="E433" s="1531" t="s">
        <v>495</v>
      </c>
      <c r="F433" s="409" t="s">
        <v>1367</v>
      </c>
      <c r="G433" s="1663" t="s">
        <v>1</v>
      </c>
      <c r="H433" s="2848">
        <v>20</v>
      </c>
      <c r="I433" s="2849"/>
      <c r="J433" s="2850"/>
      <c r="K433" s="2812"/>
      <c r="L433" s="2812"/>
      <c r="M433" s="2812"/>
      <c r="N433" s="2871">
        <v>0</v>
      </c>
      <c r="O433" s="2812"/>
      <c r="P433" s="2812"/>
      <c r="Q433" s="2812"/>
      <c r="R433" s="2812"/>
      <c r="S433" s="2812"/>
      <c r="T433" s="2812"/>
      <c r="U433" s="2848">
        <v>0</v>
      </c>
    </row>
    <row r="434" spans="1:26" ht="43.5" customHeight="1" x14ac:dyDescent="0.25">
      <c r="A434" s="732"/>
      <c r="B434" s="1871" t="s">
        <v>1246</v>
      </c>
      <c r="C434" s="1193"/>
      <c r="D434" s="1877" t="s">
        <v>463</v>
      </c>
      <c r="E434" s="1877" t="s">
        <v>495</v>
      </c>
      <c r="F434" s="2046" t="s">
        <v>1341</v>
      </c>
      <c r="G434" s="1663"/>
      <c r="H434" s="2848">
        <f>H436</f>
        <v>458.44499999999999</v>
      </c>
      <c r="I434" s="2849"/>
      <c r="J434" s="2850"/>
      <c r="K434" s="2812"/>
      <c r="L434" s="2812"/>
      <c r="M434" s="2812"/>
      <c r="N434" s="2871">
        <f>N436</f>
        <v>190</v>
      </c>
      <c r="O434" s="2812"/>
      <c r="P434" s="2812"/>
      <c r="Q434" s="2812"/>
      <c r="R434" s="2812"/>
      <c r="S434" s="2812"/>
      <c r="T434" s="2812"/>
      <c r="U434" s="2848">
        <f>U436</f>
        <v>150</v>
      </c>
    </row>
    <row r="435" spans="1:26" ht="22" customHeight="1" x14ac:dyDescent="0.25">
      <c r="A435" s="732"/>
      <c r="B435" s="753" t="s">
        <v>948</v>
      </c>
      <c r="C435" s="1193"/>
      <c r="D435" s="1531" t="s">
        <v>463</v>
      </c>
      <c r="E435" s="1531" t="s">
        <v>495</v>
      </c>
      <c r="F435" s="2046" t="s">
        <v>1341</v>
      </c>
      <c r="G435" s="1663" t="s">
        <v>955</v>
      </c>
      <c r="H435" s="2848">
        <f t="shared" ref="H435:U435" si="99">H436</f>
        <v>458.44499999999999</v>
      </c>
      <c r="I435" s="2849">
        <f t="shared" si="99"/>
        <v>0</v>
      </c>
      <c r="J435" s="2850">
        <f t="shared" si="99"/>
        <v>0</v>
      </c>
      <c r="K435" s="2812">
        <f t="shared" si="99"/>
        <v>0</v>
      </c>
      <c r="L435" s="2812">
        <f t="shared" si="99"/>
        <v>0</v>
      </c>
      <c r="M435" s="2812">
        <f t="shared" si="99"/>
        <v>0</v>
      </c>
      <c r="N435" s="2871">
        <f t="shared" si="99"/>
        <v>190</v>
      </c>
      <c r="O435" s="2812">
        <f t="shared" si="99"/>
        <v>0</v>
      </c>
      <c r="P435" s="2812">
        <f t="shared" si="99"/>
        <v>0</v>
      </c>
      <c r="Q435" s="2812">
        <f t="shared" si="99"/>
        <v>0</v>
      </c>
      <c r="R435" s="2812">
        <f t="shared" si="99"/>
        <v>0</v>
      </c>
      <c r="S435" s="2812">
        <f t="shared" si="99"/>
        <v>0</v>
      </c>
      <c r="T435" s="2812">
        <f t="shared" si="99"/>
        <v>0</v>
      </c>
      <c r="U435" s="2848">
        <f t="shared" si="99"/>
        <v>150</v>
      </c>
    </row>
    <row r="436" spans="1:26" ht="30.75" customHeight="1" x14ac:dyDescent="0.25">
      <c r="A436" s="732"/>
      <c r="B436" s="1182" t="s">
        <v>454</v>
      </c>
      <c r="C436" s="1193"/>
      <c r="D436" s="1531" t="s">
        <v>463</v>
      </c>
      <c r="E436" s="1531" t="s">
        <v>495</v>
      </c>
      <c r="F436" s="2046" t="s">
        <v>1341</v>
      </c>
      <c r="G436" s="1663" t="s">
        <v>1</v>
      </c>
      <c r="H436" s="2848">
        <f>478.445-20</f>
        <v>458.44499999999999</v>
      </c>
      <c r="I436" s="2849"/>
      <c r="J436" s="2850"/>
      <c r="K436" s="2812"/>
      <c r="L436" s="2812"/>
      <c r="M436" s="2812"/>
      <c r="N436" s="2871">
        <v>190</v>
      </c>
      <c r="O436" s="2812"/>
      <c r="P436" s="2812"/>
      <c r="Q436" s="2812"/>
      <c r="R436" s="2812"/>
      <c r="S436" s="2812"/>
      <c r="T436" s="2812"/>
      <c r="U436" s="2848">
        <v>150</v>
      </c>
      <c r="Z436" s="1">
        <v>405.4</v>
      </c>
    </row>
    <row r="437" spans="1:26" ht="30.75" customHeight="1" x14ac:dyDescent="0.25">
      <c r="A437" s="732"/>
      <c r="B437" s="1205" t="s">
        <v>1222</v>
      </c>
      <c r="C437" s="409"/>
      <c r="D437" s="1217" t="s">
        <v>463</v>
      </c>
      <c r="E437" s="1217" t="s">
        <v>495</v>
      </c>
      <c r="F437" s="409" t="s">
        <v>1165</v>
      </c>
      <c r="G437" s="1662"/>
      <c r="H437" s="2848">
        <f>H439</f>
        <v>0</v>
      </c>
      <c r="I437" s="2849"/>
      <c r="J437" s="2850"/>
      <c r="K437" s="2812"/>
      <c r="L437" s="2812"/>
      <c r="M437" s="2812"/>
      <c r="N437" s="2871">
        <f>N439</f>
        <v>2331.0073000000002</v>
      </c>
      <c r="O437" s="2812"/>
      <c r="P437" s="2812"/>
      <c r="Q437" s="2812"/>
      <c r="R437" s="2812"/>
      <c r="S437" s="2812"/>
      <c r="T437" s="2812"/>
      <c r="U437" s="2848">
        <f>U439</f>
        <v>0</v>
      </c>
    </row>
    <row r="438" spans="1:26" ht="27" customHeight="1" x14ac:dyDescent="0.25">
      <c r="A438" s="732"/>
      <c r="B438" s="2998" t="s">
        <v>1297</v>
      </c>
      <c r="C438" s="409"/>
      <c r="D438" s="1217" t="s">
        <v>463</v>
      </c>
      <c r="E438" s="1217" t="s">
        <v>495</v>
      </c>
      <c r="F438" s="409" t="s">
        <v>1347</v>
      </c>
      <c r="G438" s="1662"/>
      <c r="H438" s="2848">
        <f>H439</f>
        <v>0</v>
      </c>
      <c r="I438" s="2849"/>
      <c r="J438" s="2850"/>
      <c r="K438" s="2812"/>
      <c r="L438" s="2812"/>
      <c r="M438" s="2812"/>
      <c r="N438" s="2871">
        <f>N439</f>
        <v>2331.0073000000002</v>
      </c>
      <c r="O438" s="2812"/>
      <c r="P438" s="2812"/>
      <c r="Q438" s="2812"/>
      <c r="R438" s="2812"/>
      <c r="S438" s="2812"/>
      <c r="T438" s="2812"/>
      <c r="U438" s="2848">
        <f>U439</f>
        <v>0</v>
      </c>
    </row>
    <row r="439" spans="1:26" ht="30.75" customHeight="1" x14ac:dyDescent="0.25">
      <c r="A439" s="732"/>
      <c r="B439" s="2998" t="s">
        <v>1330</v>
      </c>
      <c r="C439" s="409"/>
      <c r="D439" s="1217" t="s">
        <v>463</v>
      </c>
      <c r="E439" s="1217" t="s">
        <v>495</v>
      </c>
      <c r="F439" s="409" t="s">
        <v>1346</v>
      </c>
      <c r="G439" s="1662"/>
      <c r="H439" s="2848">
        <f>H440</f>
        <v>0</v>
      </c>
      <c r="I439" s="2849"/>
      <c r="J439" s="2850"/>
      <c r="K439" s="2812"/>
      <c r="L439" s="2812"/>
      <c r="M439" s="2812"/>
      <c r="N439" s="2871">
        <f>N440</f>
        <v>2331.0073000000002</v>
      </c>
      <c r="O439" s="2812"/>
      <c r="P439" s="2812"/>
      <c r="Q439" s="2812"/>
      <c r="R439" s="2812"/>
      <c r="S439" s="2812"/>
      <c r="T439" s="2812"/>
      <c r="U439" s="2871">
        <f>U440</f>
        <v>0</v>
      </c>
    </row>
    <row r="440" spans="1:26" ht="23.5" customHeight="1" x14ac:dyDescent="0.25">
      <c r="A440" s="732"/>
      <c r="B440" s="2421" t="s">
        <v>1176</v>
      </c>
      <c r="C440" s="409"/>
      <c r="D440" s="1217" t="s">
        <v>463</v>
      </c>
      <c r="E440" s="1217" t="s">
        <v>495</v>
      </c>
      <c r="F440" s="2046" t="s">
        <v>1344</v>
      </c>
      <c r="G440" s="1662"/>
      <c r="H440" s="2848">
        <f>H442</f>
        <v>0</v>
      </c>
      <c r="I440" s="2849"/>
      <c r="J440" s="2850"/>
      <c r="K440" s="2812"/>
      <c r="L440" s="2812"/>
      <c r="M440" s="2812"/>
      <c r="N440" s="2871">
        <f>N442</f>
        <v>2331.0073000000002</v>
      </c>
      <c r="O440" s="2812"/>
      <c r="P440" s="2812"/>
      <c r="Q440" s="2812"/>
      <c r="R440" s="2812"/>
      <c r="S440" s="2812"/>
      <c r="T440" s="2812"/>
      <c r="U440" s="2848">
        <f>U442</f>
        <v>0</v>
      </c>
    </row>
    <row r="441" spans="1:26" ht="20.149999999999999" customHeight="1" x14ac:dyDescent="0.25">
      <c r="A441" s="732"/>
      <c r="B441" s="753" t="s">
        <v>1061</v>
      </c>
      <c r="C441" s="409"/>
      <c r="D441" s="1217" t="s">
        <v>463</v>
      </c>
      <c r="E441" s="1217" t="s">
        <v>495</v>
      </c>
      <c r="F441" s="2046" t="s">
        <v>1344</v>
      </c>
      <c r="G441" s="1662" t="s">
        <v>1060</v>
      </c>
      <c r="H441" s="2848">
        <f t="shared" ref="H441:U441" si="100">H442</f>
        <v>0</v>
      </c>
      <c r="I441" s="2849">
        <f t="shared" si="100"/>
        <v>0</v>
      </c>
      <c r="J441" s="2850">
        <f t="shared" si="100"/>
        <v>0</v>
      </c>
      <c r="K441" s="2812">
        <f t="shared" si="100"/>
        <v>0</v>
      </c>
      <c r="L441" s="2812">
        <f t="shared" si="100"/>
        <v>0</v>
      </c>
      <c r="M441" s="2812">
        <f t="shared" si="100"/>
        <v>0</v>
      </c>
      <c r="N441" s="2871">
        <f t="shared" si="100"/>
        <v>2331.0073000000002</v>
      </c>
      <c r="O441" s="2812">
        <f t="shared" si="100"/>
        <v>0</v>
      </c>
      <c r="P441" s="2812">
        <f t="shared" si="100"/>
        <v>0</v>
      </c>
      <c r="Q441" s="2812">
        <f t="shared" si="100"/>
        <v>0</v>
      </c>
      <c r="R441" s="2812">
        <f t="shared" si="100"/>
        <v>0</v>
      </c>
      <c r="S441" s="2812">
        <f t="shared" si="100"/>
        <v>0</v>
      </c>
      <c r="T441" s="2812">
        <f t="shared" si="100"/>
        <v>0</v>
      </c>
      <c r="U441" s="2848">
        <f t="shared" si="100"/>
        <v>0</v>
      </c>
    </row>
    <row r="442" spans="1:26" ht="30.75" customHeight="1" x14ac:dyDescent="0.25">
      <c r="A442" s="732"/>
      <c r="B442" s="1182" t="s">
        <v>481</v>
      </c>
      <c r="C442" s="409"/>
      <c r="D442" s="1217" t="s">
        <v>463</v>
      </c>
      <c r="E442" s="1217" t="s">
        <v>495</v>
      </c>
      <c r="F442" s="2046" t="s">
        <v>1344</v>
      </c>
      <c r="G442" s="1662" t="s">
        <v>26</v>
      </c>
      <c r="H442" s="2848">
        <v>0</v>
      </c>
      <c r="I442" s="2849"/>
      <c r="J442" s="2850"/>
      <c r="K442" s="2812"/>
      <c r="L442" s="2812"/>
      <c r="M442" s="2812"/>
      <c r="N442" s="2871">
        <f>752.9217+1578.0856</f>
        <v>2331.0073000000002</v>
      </c>
      <c r="O442" s="2812"/>
      <c r="P442" s="2812"/>
      <c r="Q442" s="2812"/>
      <c r="R442" s="2812"/>
      <c r="S442" s="2812"/>
      <c r="T442" s="2812"/>
      <c r="U442" s="2848">
        <v>0</v>
      </c>
    </row>
    <row r="443" spans="1:26" ht="30.75" customHeight="1" x14ac:dyDescent="0.25">
      <c r="A443" s="732"/>
      <c r="B443" s="1182" t="s">
        <v>499</v>
      </c>
      <c r="C443" s="1880"/>
      <c r="D443" s="1221" t="s">
        <v>463</v>
      </c>
      <c r="E443" s="1221" t="s">
        <v>495</v>
      </c>
      <c r="F443" s="1662" t="s">
        <v>89</v>
      </c>
      <c r="G443" s="1662"/>
      <c r="H443" s="2848">
        <f>H444</f>
        <v>5655</v>
      </c>
      <c r="I443" s="2849"/>
      <c r="J443" s="2850"/>
      <c r="K443" s="2812"/>
      <c r="L443" s="2812"/>
      <c r="M443" s="2812"/>
      <c r="N443" s="2851">
        <f>N444</f>
        <v>5994.3</v>
      </c>
      <c r="O443" s="2812"/>
      <c r="P443" s="2812"/>
      <c r="Q443" s="2812"/>
      <c r="R443" s="2812"/>
      <c r="S443" s="2812"/>
      <c r="T443" s="2812"/>
      <c r="U443" s="2848">
        <f>U444</f>
        <v>6353.9579999999996</v>
      </c>
    </row>
    <row r="444" spans="1:26" ht="30.75" customHeight="1" x14ac:dyDescent="0.25">
      <c r="A444" s="1179"/>
      <c r="B444" s="1882" t="s">
        <v>109</v>
      </c>
      <c r="C444" s="409"/>
      <c r="D444" s="1217" t="s">
        <v>463</v>
      </c>
      <c r="E444" s="1217" t="s">
        <v>495</v>
      </c>
      <c r="F444" s="409" t="s">
        <v>84</v>
      </c>
      <c r="G444" s="1883"/>
      <c r="H444" s="2848">
        <f>H445</f>
        <v>5655</v>
      </c>
      <c r="I444" s="2849"/>
      <c r="J444" s="2850"/>
      <c r="K444" s="2812"/>
      <c r="L444" s="2812"/>
      <c r="M444" s="2812"/>
      <c r="N444" s="2851">
        <f>N445</f>
        <v>5994.3</v>
      </c>
      <c r="O444" s="2812"/>
      <c r="P444" s="2812"/>
      <c r="Q444" s="2812"/>
      <c r="R444" s="2812"/>
      <c r="S444" s="2812"/>
      <c r="T444" s="2812"/>
      <c r="U444" s="2848">
        <f>U445</f>
        <v>6353.9579999999996</v>
      </c>
    </row>
    <row r="445" spans="1:26" ht="30.75" customHeight="1" x14ac:dyDescent="0.25">
      <c r="A445" s="1179"/>
      <c r="B445" s="1884" t="s">
        <v>109</v>
      </c>
      <c r="C445" s="409"/>
      <c r="D445" s="1217" t="s">
        <v>463</v>
      </c>
      <c r="E445" s="1217" t="s">
        <v>495</v>
      </c>
      <c r="F445" s="409" t="s">
        <v>82</v>
      </c>
      <c r="G445" s="1885"/>
      <c r="H445" s="2848">
        <f>H457+H456+H448+H451+H454</f>
        <v>5655</v>
      </c>
      <c r="I445" s="2849"/>
      <c r="J445" s="2850"/>
      <c r="K445" s="2812"/>
      <c r="L445" s="2812"/>
      <c r="M445" s="2812"/>
      <c r="N445" s="2851">
        <f>N452</f>
        <v>5994.3</v>
      </c>
      <c r="O445" s="2812"/>
      <c r="P445" s="2812"/>
      <c r="Q445" s="2812"/>
      <c r="R445" s="2812"/>
      <c r="S445" s="2812"/>
      <c r="T445" s="2812"/>
      <c r="U445" s="2848">
        <f>U452</f>
        <v>6353.9579999999996</v>
      </c>
    </row>
    <row r="446" spans="1:26" ht="30.75" hidden="1" customHeight="1" x14ac:dyDescent="0.25">
      <c r="A446" s="1179"/>
      <c r="B446" s="1884" t="s">
        <v>1178</v>
      </c>
      <c r="C446" s="409"/>
      <c r="D446" s="1217" t="s">
        <v>463</v>
      </c>
      <c r="E446" s="1217" t="s">
        <v>495</v>
      </c>
      <c r="F446" s="409" t="s">
        <v>1177</v>
      </c>
      <c r="G446" s="1885"/>
      <c r="H446" s="2848">
        <f>H447</f>
        <v>0</v>
      </c>
      <c r="I446" s="2849"/>
      <c r="J446" s="2850"/>
      <c r="K446" s="2812"/>
      <c r="L446" s="2812"/>
      <c r="M446" s="2812"/>
      <c r="N446" s="2851">
        <f t="shared" ref="N446:U446" si="101">N447</f>
        <v>0</v>
      </c>
      <c r="O446" s="2812">
        <f t="shared" si="101"/>
        <v>0</v>
      </c>
      <c r="P446" s="2812">
        <f t="shared" si="101"/>
        <v>0</v>
      </c>
      <c r="Q446" s="2812">
        <f t="shared" si="101"/>
        <v>0</v>
      </c>
      <c r="R446" s="2812">
        <f t="shared" si="101"/>
        <v>0</v>
      </c>
      <c r="S446" s="2812">
        <f t="shared" si="101"/>
        <v>0</v>
      </c>
      <c r="T446" s="2812">
        <f t="shared" si="101"/>
        <v>0</v>
      </c>
      <c r="U446" s="2848">
        <f t="shared" si="101"/>
        <v>0</v>
      </c>
    </row>
    <row r="447" spans="1:26" ht="30.75" hidden="1" customHeight="1" x14ac:dyDescent="0.25">
      <c r="A447" s="1179"/>
      <c r="B447" s="1884" t="s">
        <v>948</v>
      </c>
      <c r="C447" s="409"/>
      <c r="D447" s="1217" t="s">
        <v>463</v>
      </c>
      <c r="E447" s="1217" t="s">
        <v>495</v>
      </c>
      <c r="F447" s="409" t="s">
        <v>1177</v>
      </c>
      <c r="G447" s="1885" t="s">
        <v>955</v>
      </c>
      <c r="H447" s="2848">
        <f>H448</f>
        <v>0</v>
      </c>
      <c r="I447" s="2849"/>
      <c r="J447" s="2850"/>
      <c r="K447" s="2812"/>
      <c r="L447" s="2812"/>
      <c r="M447" s="2812"/>
      <c r="N447" s="2851">
        <v>0</v>
      </c>
      <c r="O447" s="2812"/>
      <c r="P447" s="2812"/>
      <c r="Q447" s="2812"/>
      <c r="R447" s="2812"/>
      <c r="S447" s="2812"/>
      <c r="T447" s="2812"/>
      <c r="U447" s="2848">
        <v>0</v>
      </c>
    </row>
    <row r="448" spans="1:26" ht="30.75" hidden="1" customHeight="1" x14ac:dyDescent="0.25">
      <c r="A448" s="1179"/>
      <c r="B448" s="1884" t="s">
        <v>454</v>
      </c>
      <c r="C448" s="409"/>
      <c r="D448" s="1217" t="s">
        <v>463</v>
      </c>
      <c r="E448" s="1217" t="s">
        <v>495</v>
      </c>
      <c r="F448" s="409" t="s">
        <v>1177</v>
      </c>
      <c r="G448" s="1885" t="s">
        <v>1</v>
      </c>
      <c r="H448" s="2848">
        <v>0</v>
      </c>
      <c r="I448" s="2849"/>
      <c r="J448" s="2850"/>
      <c r="K448" s="2812"/>
      <c r="L448" s="2812"/>
      <c r="M448" s="2812"/>
      <c r="N448" s="2851">
        <v>0</v>
      </c>
      <c r="O448" s="2812"/>
      <c r="P448" s="2812"/>
      <c r="Q448" s="2812"/>
      <c r="R448" s="2812"/>
      <c r="S448" s="2812"/>
      <c r="T448" s="2812"/>
      <c r="U448" s="2848">
        <v>0</v>
      </c>
    </row>
    <row r="449" spans="1:26" ht="30.75" hidden="1" customHeight="1" x14ac:dyDescent="0.25">
      <c r="A449" s="1179"/>
      <c r="B449" s="1884" t="s">
        <v>186</v>
      </c>
      <c r="C449" s="409"/>
      <c r="D449" s="1217" t="s">
        <v>463</v>
      </c>
      <c r="E449" s="1217" t="s">
        <v>495</v>
      </c>
      <c r="F449" s="409" t="s">
        <v>36</v>
      </c>
      <c r="G449" s="1885"/>
      <c r="H449" s="2848">
        <f>H450</f>
        <v>0</v>
      </c>
      <c r="I449" s="2849"/>
      <c r="J449" s="2850"/>
      <c r="K449" s="2812"/>
      <c r="L449" s="2812"/>
      <c r="M449" s="2812"/>
      <c r="N449" s="2851">
        <f>N450</f>
        <v>0</v>
      </c>
      <c r="O449" s="2812"/>
      <c r="P449" s="2812"/>
      <c r="Q449" s="2812"/>
      <c r="R449" s="2812"/>
      <c r="S449" s="2812"/>
      <c r="T449" s="2812"/>
      <c r="U449" s="2851">
        <f>U450</f>
        <v>0</v>
      </c>
    </row>
    <row r="450" spans="1:26" ht="30.75" hidden="1" customHeight="1" x14ac:dyDescent="0.25">
      <c r="A450" s="1179"/>
      <c r="B450" s="2263" t="s">
        <v>948</v>
      </c>
      <c r="C450" s="409"/>
      <c r="D450" s="1217" t="s">
        <v>463</v>
      </c>
      <c r="E450" s="1217" t="s">
        <v>495</v>
      </c>
      <c r="F450" s="409" t="s">
        <v>36</v>
      </c>
      <c r="G450" s="1885" t="s">
        <v>955</v>
      </c>
      <c r="H450" s="2848">
        <f>H451</f>
        <v>0</v>
      </c>
      <c r="I450" s="2849"/>
      <c r="J450" s="2850"/>
      <c r="K450" s="2812"/>
      <c r="L450" s="2812"/>
      <c r="M450" s="2812"/>
      <c r="N450" s="2851">
        <f>N451</f>
        <v>0</v>
      </c>
      <c r="O450" s="2812"/>
      <c r="P450" s="2812"/>
      <c r="Q450" s="2812"/>
      <c r="R450" s="2812"/>
      <c r="S450" s="2812"/>
      <c r="T450" s="2812"/>
      <c r="U450" s="2851">
        <f>U451</f>
        <v>0</v>
      </c>
    </row>
    <row r="451" spans="1:26" ht="30.75" hidden="1" customHeight="1" x14ac:dyDescent="0.25">
      <c r="A451" s="1179"/>
      <c r="B451" s="2263" t="s">
        <v>454</v>
      </c>
      <c r="C451" s="409"/>
      <c r="D451" s="1217" t="s">
        <v>463</v>
      </c>
      <c r="E451" s="1217" t="s">
        <v>495</v>
      </c>
      <c r="F451" s="409" t="s">
        <v>36</v>
      </c>
      <c r="G451" s="1885" t="s">
        <v>1</v>
      </c>
      <c r="H451" s="2848">
        <v>0</v>
      </c>
      <c r="I451" s="2849"/>
      <c r="J451" s="2850"/>
      <c r="K451" s="2812"/>
      <c r="L451" s="2812"/>
      <c r="M451" s="2812"/>
      <c r="N451" s="2851">
        <v>0</v>
      </c>
      <c r="O451" s="2812"/>
      <c r="P451" s="2812"/>
      <c r="Q451" s="2812"/>
      <c r="R451" s="2812"/>
      <c r="S451" s="2812"/>
      <c r="T451" s="2812"/>
      <c r="U451" s="2848">
        <v>0</v>
      </c>
    </row>
    <row r="452" spans="1:26" ht="30.75" customHeight="1" x14ac:dyDescent="0.25">
      <c r="A452" s="1179"/>
      <c r="B452" s="1205" t="s">
        <v>184</v>
      </c>
      <c r="C452" s="409"/>
      <c r="D452" s="1217" t="s">
        <v>463</v>
      </c>
      <c r="E452" s="1217" t="s">
        <v>495</v>
      </c>
      <c r="F452" s="409" t="s">
        <v>33</v>
      </c>
      <c r="G452" s="1885"/>
      <c r="H452" s="2848">
        <f>H456+H454</f>
        <v>5655</v>
      </c>
      <c r="I452" s="2849"/>
      <c r="J452" s="2850"/>
      <c r="K452" s="2812"/>
      <c r="L452" s="2812"/>
      <c r="M452" s="2812"/>
      <c r="N452" s="2851">
        <f t="shared" ref="N452:U452" si="102">N456+N454</f>
        <v>5994.3</v>
      </c>
      <c r="O452" s="2812">
        <f t="shared" si="102"/>
        <v>0</v>
      </c>
      <c r="P452" s="2812">
        <f t="shared" si="102"/>
        <v>0</v>
      </c>
      <c r="Q452" s="2812">
        <f t="shared" si="102"/>
        <v>0</v>
      </c>
      <c r="R452" s="2812">
        <f t="shared" si="102"/>
        <v>0</v>
      </c>
      <c r="S452" s="2812">
        <f t="shared" si="102"/>
        <v>0</v>
      </c>
      <c r="T452" s="2812">
        <f t="shared" si="102"/>
        <v>0</v>
      </c>
      <c r="U452" s="2848">
        <f t="shared" si="102"/>
        <v>6353.9579999999996</v>
      </c>
    </row>
    <row r="453" spans="1:26" ht="30.75" hidden="1" customHeight="1" x14ac:dyDescent="0.25">
      <c r="A453" s="1179"/>
      <c r="B453" s="2263" t="s">
        <v>948</v>
      </c>
      <c r="C453" s="409"/>
      <c r="D453" s="1217" t="s">
        <v>463</v>
      </c>
      <c r="E453" s="1217" t="s">
        <v>495</v>
      </c>
      <c r="F453" s="409" t="s">
        <v>33</v>
      </c>
      <c r="G453" s="1885" t="s">
        <v>955</v>
      </c>
      <c r="H453" s="2848">
        <f>H454</f>
        <v>0</v>
      </c>
      <c r="I453" s="2849"/>
      <c r="J453" s="2850"/>
      <c r="K453" s="2812"/>
      <c r="L453" s="2812"/>
      <c r="M453" s="2812"/>
      <c r="N453" s="2851">
        <f t="shared" ref="N453:U453" si="103">N454</f>
        <v>0</v>
      </c>
      <c r="O453" s="2812">
        <f t="shared" si="103"/>
        <v>0</v>
      </c>
      <c r="P453" s="2812">
        <f t="shared" si="103"/>
        <v>0</v>
      </c>
      <c r="Q453" s="2812">
        <f t="shared" si="103"/>
        <v>0</v>
      </c>
      <c r="R453" s="2812">
        <f t="shared" si="103"/>
        <v>0</v>
      </c>
      <c r="S453" s="2812">
        <f t="shared" si="103"/>
        <v>0</v>
      </c>
      <c r="T453" s="2812">
        <f t="shared" si="103"/>
        <v>0</v>
      </c>
      <c r="U453" s="2848">
        <f t="shared" si="103"/>
        <v>0</v>
      </c>
    </row>
    <row r="454" spans="1:26" ht="30.75" hidden="1" customHeight="1" x14ac:dyDescent="0.25">
      <c r="A454" s="1179"/>
      <c r="B454" s="2263" t="s">
        <v>454</v>
      </c>
      <c r="C454" s="409"/>
      <c r="D454" s="1217" t="s">
        <v>463</v>
      </c>
      <c r="E454" s="1217" t="s">
        <v>495</v>
      </c>
      <c r="F454" s="409" t="s">
        <v>33</v>
      </c>
      <c r="G454" s="1885" t="s">
        <v>1</v>
      </c>
      <c r="H454" s="2848">
        <v>0</v>
      </c>
      <c r="I454" s="2849"/>
      <c r="J454" s="2850"/>
      <c r="K454" s="2812"/>
      <c r="L454" s="2812"/>
      <c r="M454" s="2812"/>
      <c r="N454" s="2851">
        <v>0</v>
      </c>
      <c r="O454" s="2812"/>
      <c r="P454" s="2812"/>
      <c r="Q454" s="2812"/>
      <c r="R454" s="2812"/>
      <c r="S454" s="2812"/>
      <c r="T454" s="2812"/>
      <c r="U454" s="2848">
        <v>0</v>
      </c>
    </row>
    <row r="455" spans="1:26" ht="19.5" customHeight="1" x14ac:dyDescent="0.25">
      <c r="A455" s="1179"/>
      <c r="B455" s="1884" t="s">
        <v>1068</v>
      </c>
      <c r="C455" s="409"/>
      <c r="D455" s="1217" t="s">
        <v>463</v>
      </c>
      <c r="E455" s="1217" t="s">
        <v>495</v>
      </c>
      <c r="F455" s="409" t="s">
        <v>33</v>
      </c>
      <c r="G455" s="1885" t="s">
        <v>1064</v>
      </c>
      <c r="H455" s="2848">
        <f t="shared" ref="H455:U455" si="104">H456</f>
        <v>5655</v>
      </c>
      <c r="I455" s="2849">
        <f t="shared" si="104"/>
        <v>0</v>
      </c>
      <c r="J455" s="2850">
        <f t="shared" si="104"/>
        <v>0</v>
      </c>
      <c r="K455" s="2812">
        <f t="shared" si="104"/>
        <v>0</v>
      </c>
      <c r="L455" s="2812">
        <f t="shared" si="104"/>
        <v>0</v>
      </c>
      <c r="M455" s="2812">
        <f t="shared" si="104"/>
        <v>0</v>
      </c>
      <c r="N455" s="2851">
        <f t="shared" si="104"/>
        <v>5994.3</v>
      </c>
      <c r="O455" s="2812">
        <f t="shared" si="104"/>
        <v>0</v>
      </c>
      <c r="P455" s="2812">
        <f t="shared" si="104"/>
        <v>0</v>
      </c>
      <c r="Q455" s="2812">
        <f t="shared" si="104"/>
        <v>0</v>
      </c>
      <c r="R455" s="2812">
        <f t="shared" si="104"/>
        <v>0</v>
      </c>
      <c r="S455" s="2812">
        <f t="shared" si="104"/>
        <v>0</v>
      </c>
      <c r="T455" s="2812">
        <f t="shared" si="104"/>
        <v>0</v>
      </c>
      <c r="U455" s="2848">
        <f t="shared" si="104"/>
        <v>6353.9579999999996</v>
      </c>
    </row>
    <row r="456" spans="1:26" ht="30.75" customHeight="1" x14ac:dyDescent="0.25">
      <c r="A456" s="1179"/>
      <c r="B456" s="1182" t="s">
        <v>1034</v>
      </c>
      <c r="C456" s="409"/>
      <c r="D456" s="1217" t="s">
        <v>463</v>
      </c>
      <c r="E456" s="1217" t="s">
        <v>495</v>
      </c>
      <c r="F456" s="409" t="s">
        <v>33</v>
      </c>
      <c r="G456" s="1885" t="s">
        <v>521</v>
      </c>
      <c r="H456" s="2848">
        <v>5655</v>
      </c>
      <c r="I456" s="2849"/>
      <c r="J456" s="2850"/>
      <c r="K456" s="2812"/>
      <c r="L456" s="2812"/>
      <c r="M456" s="2812"/>
      <c r="N456" s="2851">
        <v>5994.3</v>
      </c>
      <c r="O456" s="2812"/>
      <c r="P456" s="2812"/>
      <c r="Q456" s="2812"/>
      <c r="R456" s="2812"/>
      <c r="S456" s="2812"/>
      <c r="T456" s="2812"/>
      <c r="U456" s="2848">
        <v>6353.9579999999996</v>
      </c>
    </row>
    <row r="457" spans="1:26" ht="30.75" hidden="1" customHeight="1" x14ac:dyDescent="0.25">
      <c r="A457" s="1179"/>
      <c r="B457" s="2248" t="s">
        <v>1107</v>
      </c>
      <c r="C457" s="409"/>
      <c r="D457" s="1217" t="s">
        <v>463</v>
      </c>
      <c r="E457" s="1217" t="s">
        <v>495</v>
      </c>
      <c r="F457" s="409" t="s">
        <v>1106</v>
      </c>
      <c r="G457" s="1885"/>
      <c r="H457" s="2848">
        <f>H458</f>
        <v>0</v>
      </c>
      <c r="I457" s="2849"/>
      <c r="J457" s="2850"/>
      <c r="K457" s="2812"/>
      <c r="L457" s="2812"/>
      <c r="M457" s="2812"/>
      <c r="N457" s="2851">
        <f>N458</f>
        <v>0</v>
      </c>
      <c r="O457" s="2812"/>
      <c r="P457" s="2812"/>
      <c r="Q457" s="2812"/>
      <c r="R457" s="2812"/>
      <c r="S457" s="2812"/>
      <c r="T457" s="2812"/>
      <c r="U457" s="2848">
        <f>U458</f>
        <v>0</v>
      </c>
    </row>
    <row r="458" spans="1:26" ht="30.75" hidden="1" customHeight="1" x14ac:dyDescent="0.25">
      <c r="A458" s="1179"/>
      <c r="B458" s="1884" t="s">
        <v>454</v>
      </c>
      <c r="C458" s="409"/>
      <c r="D458" s="1217" t="s">
        <v>463</v>
      </c>
      <c r="E458" s="1217" t="s">
        <v>495</v>
      </c>
      <c r="F458" s="409" t="s">
        <v>1106</v>
      </c>
      <c r="G458" s="1662" t="s">
        <v>1</v>
      </c>
      <c r="H458" s="2848"/>
      <c r="I458" s="2849"/>
      <c r="J458" s="2850"/>
      <c r="K458" s="2812"/>
      <c r="L458" s="2812"/>
      <c r="M458" s="2812"/>
      <c r="N458" s="2851">
        <v>0</v>
      </c>
      <c r="O458" s="2812"/>
      <c r="P458" s="2812"/>
      <c r="Q458" s="2812"/>
      <c r="R458" s="2812"/>
      <c r="S458" s="2812"/>
      <c r="T458" s="2812"/>
      <c r="U458" s="2848">
        <v>0</v>
      </c>
      <c r="Z458" s="1">
        <v>122</v>
      </c>
    </row>
    <row r="459" spans="1:26" x14ac:dyDescent="0.25">
      <c r="A459" s="1179"/>
      <c r="B459" s="1184" t="s">
        <v>348</v>
      </c>
      <c r="C459" s="1177"/>
      <c r="D459" s="408" t="s">
        <v>506</v>
      </c>
      <c r="E459" s="408" t="s">
        <v>459</v>
      </c>
      <c r="F459" s="408"/>
      <c r="G459" s="1661"/>
      <c r="H459" s="2852">
        <f>H460</f>
        <v>5887</v>
      </c>
      <c r="I459" s="2853">
        <f t="shared" ref="H459:J461" si="105">I460</f>
        <v>0</v>
      </c>
      <c r="J459" s="2854">
        <f t="shared" si="105"/>
        <v>0</v>
      </c>
      <c r="K459" s="2812"/>
      <c r="L459" s="2812"/>
      <c r="M459" s="2812"/>
      <c r="N459" s="2856">
        <f t="shared" ref="N459:N461" si="106">N460</f>
        <v>402</v>
      </c>
      <c r="O459" s="2812"/>
      <c r="P459" s="2812"/>
      <c r="Q459" s="2812"/>
      <c r="R459" s="2812"/>
      <c r="S459" s="2812"/>
      <c r="T459" s="2812"/>
      <c r="U459" s="2852">
        <f t="shared" ref="U459:U461" si="107">U460</f>
        <v>412</v>
      </c>
    </row>
    <row r="460" spans="1:26" x14ac:dyDescent="0.25">
      <c r="A460" s="842"/>
      <c r="B460" s="1184" t="s">
        <v>964</v>
      </c>
      <c r="C460" s="1177"/>
      <c r="D460" s="408" t="s">
        <v>506</v>
      </c>
      <c r="E460" s="408" t="s">
        <v>506</v>
      </c>
      <c r="F460" s="408"/>
      <c r="G460" s="1661"/>
      <c r="H460" s="2852">
        <f t="shared" si="105"/>
        <v>5887</v>
      </c>
      <c r="I460" s="2853">
        <f t="shared" si="105"/>
        <v>0</v>
      </c>
      <c r="J460" s="2854">
        <f t="shared" si="105"/>
        <v>0</v>
      </c>
      <c r="K460" s="2812"/>
      <c r="L460" s="2812"/>
      <c r="M460" s="2812"/>
      <c r="N460" s="2856">
        <f t="shared" si="106"/>
        <v>402</v>
      </c>
      <c r="O460" s="2812"/>
      <c r="P460" s="2812"/>
      <c r="Q460" s="2812"/>
      <c r="R460" s="2812"/>
      <c r="S460" s="2812"/>
      <c r="T460" s="2812"/>
      <c r="U460" s="2852">
        <f t="shared" si="107"/>
        <v>412</v>
      </c>
    </row>
    <row r="461" spans="1:26" ht="21" x14ac:dyDescent="0.25">
      <c r="A461" s="1179"/>
      <c r="B461" s="1205" t="s">
        <v>932</v>
      </c>
      <c r="C461" s="1180"/>
      <c r="D461" s="409" t="s">
        <v>506</v>
      </c>
      <c r="E461" s="409" t="s">
        <v>506</v>
      </c>
      <c r="F461" s="409" t="s">
        <v>273</v>
      </c>
      <c r="G461" s="1662"/>
      <c r="H461" s="2848">
        <f>H466+H470+H478</f>
        <v>5887</v>
      </c>
      <c r="I461" s="2849">
        <f t="shared" si="105"/>
        <v>0</v>
      </c>
      <c r="J461" s="2850">
        <f t="shared" si="105"/>
        <v>0</v>
      </c>
      <c r="K461" s="2812"/>
      <c r="L461" s="2812"/>
      <c r="M461" s="2812"/>
      <c r="N461" s="2851">
        <f t="shared" si="106"/>
        <v>402</v>
      </c>
      <c r="O461" s="2812"/>
      <c r="P461" s="2812"/>
      <c r="Q461" s="2812"/>
      <c r="R461" s="2812"/>
      <c r="S461" s="2812"/>
      <c r="T461" s="2812"/>
      <c r="U461" s="2848">
        <f t="shared" si="107"/>
        <v>412</v>
      </c>
    </row>
    <row r="462" spans="1:26" ht="13" x14ac:dyDescent="0.25">
      <c r="A462" s="1179"/>
      <c r="B462" s="157" t="s">
        <v>1263</v>
      </c>
      <c r="C462" s="1180"/>
      <c r="D462" s="409" t="s">
        <v>506</v>
      </c>
      <c r="E462" s="409" t="s">
        <v>506</v>
      </c>
      <c r="F462" s="409" t="s">
        <v>1271</v>
      </c>
      <c r="G462" s="1662"/>
      <c r="H462" s="2848">
        <f>H469+H473+H481</f>
        <v>5887</v>
      </c>
      <c r="I462" s="2849">
        <f>I463+I470</f>
        <v>0</v>
      </c>
      <c r="J462" s="2850">
        <f>J463+J470</f>
        <v>0</v>
      </c>
      <c r="K462" s="2822">
        <v>348</v>
      </c>
      <c r="L462" s="2812"/>
      <c r="M462" s="2812"/>
      <c r="N462" s="2848">
        <f t="shared" ref="N462:U462" si="108">N469+N473+N481</f>
        <v>402</v>
      </c>
      <c r="O462" s="2848">
        <f t="shared" si="108"/>
        <v>0</v>
      </c>
      <c r="P462" s="2848">
        <f t="shared" si="108"/>
        <v>0</v>
      </c>
      <c r="Q462" s="2848">
        <f t="shared" si="108"/>
        <v>0</v>
      </c>
      <c r="R462" s="2848">
        <f t="shared" si="108"/>
        <v>0</v>
      </c>
      <c r="S462" s="2848">
        <f t="shared" si="108"/>
        <v>0</v>
      </c>
      <c r="T462" s="2848">
        <f t="shared" si="108"/>
        <v>0</v>
      </c>
      <c r="U462" s="2848">
        <f t="shared" si="108"/>
        <v>412</v>
      </c>
    </row>
    <row r="463" spans="1:26" ht="31.5" hidden="1" x14ac:dyDescent="0.25">
      <c r="A463" s="1179"/>
      <c r="B463" s="1205" t="s">
        <v>270</v>
      </c>
      <c r="C463" s="1180"/>
      <c r="D463" s="409" t="s">
        <v>506</v>
      </c>
      <c r="E463" s="409" t="s">
        <v>506</v>
      </c>
      <c r="F463" s="409" t="s">
        <v>267</v>
      </c>
      <c r="G463" s="1662"/>
      <c r="H463" s="2848">
        <f t="shared" ref="H463:J464" si="109">H464</f>
        <v>0</v>
      </c>
      <c r="I463" s="2849">
        <f t="shared" si="109"/>
        <v>0</v>
      </c>
      <c r="J463" s="2850">
        <f t="shared" si="109"/>
        <v>0</v>
      </c>
      <c r="K463" s="2812"/>
      <c r="L463" s="2812"/>
      <c r="M463" s="2812"/>
      <c r="N463" s="2851">
        <f t="shared" ref="N463:N464" si="110">N464</f>
        <v>0</v>
      </c>
      <c r="O463" s="2812"/>
      <c r="P463" s="2812"/>
      <c r="Q463" s="2812"/>
      <c r="R463" s="2812"/>
      <c r="S463" s="2812"/>
      <c r="T463" s="2812"/>
      <c r="U463" s="2848">
        <f t="shared" ref="U463:U464" si="111">U464</f>
        <v>0</v>
      </c>
    </row>
    <row r="464" spans="1:26" hidden="1" x14ac:dyDescent="0.25">
      <c r="A464" s="1233"/>
      <c r="B464" s="1250" t="s">
        <v>4</v>
      </c>
      <c r="C464" s="1180"/>
      <c r="D464" s="409" t="s">
        <v>506</v>
      </c>
      <c r="E464" s="409" t="s">
        <v>506</v>
      </c>
      <c r="F464" s="409" t="s">
        <v>507</v>
      </c>
      <c r="G464" s="1662"/>
      <c r="H464" s="2848">
        <f t="shared" si="109"/>
        <v>0</v>
      </c>
      <c r="I464" s="2849">
        <f t="shared" si="109"/>
        <v>0</v>
      </c>
      <c r="J464" s="2850">
        <f t="shared" si="109"/>
        <v>0</v>
      </c>
      <c r="K464" s="2812"/>
      <c r="L464" s="2812"/>
      <c r="M464" s="2812"/>
      <c r="N464" s="2851">
        <f t="shared" si="110"/>
        <v>0</v>
      </c>
      <c r="O464" s="2812"/>
      <c r="P464" s="2812"/>
      <c r="Q464" s="2812"/>
      <c r="R464" s="2812"/>
      <c r="S464" s="2812"/>
      <c r="T464" s="2812"/>
      <c r="U464" s="2848">
        <f t="shared" si="111"/>
        <v>0</v>
      </c>
    </row>
    <row r="465" spans="1:21" ht="21" hidden="1" x14ac:dyDescent="0.25">
      <c r="A465" s="1233"/>
      <c r="B465" s="1197" t="s">
        <v>268</v>
      </c>
      <c r="C465" s="1183"/>
      <c r="D465" s="409" t="s">
        <v>506</v>
      </c>
      <c r="E465" s="409" t="s">
        <v>506</v>
      </c>
      <c r="F465" s="409" t="s">
        <v>507</v>
      </c>
      <c r="G465" s="1662" t="s">
        <v>1</v>
      </c>
      <c r="H465" s="2848"/>
      <c r="I465" s="2849"/>
      <c r="J465" s="2850"/>
      <c r="K465" s="2812"/>
      <c r="L465" s="2812"/>
      <c r="M465" s="2812"/>
      <c r="N465" s="2851"/>
      <c r="O465" s="2812"/>
      <c r="P465" s="2812"/>
      <c r="Q465" s="2812"/>
      <c r="R465" s="2812"/>
      <c r="S465" s="2812"/>
      <c r="T465" s="2812"/>
      <c r="U465" s="2848"/>
    </row>
    <row r="466" spans="1:21" ht="26" x14ac:dyDescent="0.25">
      <c r="A466" s="1233"/>
      <c r="B466" s="2987" t="s">
        <v>1349</v>
      </c>
      <c r="C466" s="1183"/>
      <c r="D466" s="409" t="s">
        <v>506</v>
      </c>
      <c r="E466" s="409" t="s">
        <v>506</v>
      </c>
      <c r="F466" s="409" t="s">
        <v>1348</v>
      </c>
      <c r="G466" s="1662"/>
      <c r="H466" s="2848">
        <f>H467</f>
        <v>270</v>
      </c>
      <c r="I466" s="2849"/>
      <c r="J466" s="2850"/>
      <c r="K466" s="2812"/>
      <c r="L466" s="2812"/>
      <c r="M466" s="2812"/>
      <c r="N466" s="2851">
        <f t="shared" ref="N466" si="112">N467</f>
        <v>280</v>
      </c>
      <c r="O466" s="2812">
        <f t="shared" ref="O466" si="113">O467</f>
        <v>0</v>
      </c>
      <c r="P466" s="2812">
        <f t="shared" ref="P466" si="114">P467</f>
        <v>0</v>
      </c>
      <c r="Q466" s="2812">
        <f t="shared" ref="Q466" si="115">Q467</f>
        <v>0</v>
      </c>
      <c r="R466" s="2812">
        <f t="shared" ref="R466" si="116">R467</f>
        <v>0</v>
      </c>
      <c r="S466" s="2812">
        <f t="shared" ref="S466" si="117">S467</f>
        <v>0</v>
      </c>
      <c r="T466" s="2812">
        <f t="shared" ref="T466" si="118">T467</f>
        <v>0</v>
      </c>
      <c r="U466" s="2848">
        <f t="shared" ref="U466" si="119">U467</f>
        <v>290</v>
      </c>
    </row>
    <row r="467" spans="1:21" x14ac:dyDescent="0.25">
      <c r="A467" s="1179"/>
      <c r="B467" s="1205" t="s">
        <v>266</v>
      </c>
      <c r="C467" s="1180"/>
      <c r="D467" s="409" t="s">
        <v>506</v>
      </c>
      <c r="E467" s="409" t="s">
        <v>506</v>
      </c>
      <c r="F467" s="409" t="s">
        <v>1273</v>
      </c>
      <c r="G467" s="1662"/>
      <c r="H467" s="2848">
        <f t="shared" ref="H467:J467" si="120">H469</f>
        <v>270</v>
      </c>
      <c r="I467" s="2849">
        <f t="shared" si="120"/>
        <v>0</v>
      </c>
      <c r="J467" s="2850">
        <f t="shared" si="120"/>
        <v>0</v>
      </c>
      <c r="K467" s="2812"/>
      <c r="L467" s="2812"/>
      <c r="M467" s="2812"/>
      <c r="N467" s="2851">
        <f t="shared" ref="N467" si="121">N469</f>
        <v>280</v>
      </c>
      <c r="O467" s="2812"/>
      <c r="P467" s="2812"/>
      <c r="Q467" s="2812"/>
      <c r="R467" s="2812"/>
      <c r="S467" s="2812"/>
      <c r="T467" s="2812"/>
      <c r="U467" s="2848">
        <f t="shared" ref="U467" si="122">U469</f>
        <v>290</v>
      </c>
    </row>
    <row r="468" spans="1:21" x14ac:dyDescent="0.25">
      <c r="A468" s="1179"/>
      <c r="B468" s="753" t="s">
        <v>948</v>
      </c>
      <c r="C468" s="1180"/>
      <c r="D468" s="409" t="s">
        <v>506</v>
      </c>
      <c r="E468" s="409" t="s">
        <v>506</v>
      </c>
      <c r="F468" s="409" t="s">
        <v>1273</v>
      </c>
      <c r="G468" s="1662" t="s">
        <v>955</v>
      </c>
      <c r="H468" s="2848">
        <f t="shared" ref="H468:U468" si="123">H469</f>
        <v>270</v>
      </c>
      <c r="I468" s="2849">
        <f t="shared" si="123"/>
        <v>0</v>
      </c>
      <c r="J468" s="2850">
        <f t="shared" si="123"/>
        <v>0</v>
      </c>
      <c r="K468" s="2812">
        <f t="shared" si="123"/>
        <v>0</v>
      </c>
      <c r="L468" s="2812">
        <f t="shared" si="123"/>
        <v>0</v>
      </c>
      <c r="M468" s="2812">
        <f t="shared" si="123"/>
        <v>0</v>
      </c>
      <c r="N468" s="2851">
        <f t="shared" si="123"/>
        <v>280</v>
      </c>
      <c r="O468" s="2812">
        <f t="shared" si="123"/>
        <v>0</v>
      </c>
      <c r="P468" s="2812">
        <f t="shared" si="123"/>
        <v>0</v>
      </c>
      <c r="Q468" s="2812">
        <f t="shared" si="123"/>
        <v>0</v>
      </c>
      <c r="R468" s="2812">
        <f t="shared" si="123"/>
        <v>0</v>
      </c>
      <c r="S468" s="2812">
        <f t="shared" si="123"/>
        <v>0</v>
      </c>
      <c r="T468" s="2812">
        <f t="shared" si="123"/>
        <v>0</v>
      </c>
      <c r="U468" s="2848">
        <f t="shared" si="123"/>
        <v>290</v>
      </c>
    </row>
    <row r="469" spans="1:21" ht="21" x14ac:dyDescent="0.25">
      <c r="A469" s="1179"/>
      <c r="B469" s="1191" t="s">
        <v>454</v>
      </c>
      <c r="C469" s="1183"/>
      <c r="D469" s="409" t="s">
        <v>506</v>
      </c>
      <c r="E469" s="409" t="s">
        <v>506</v>
      </c>
      <c r="F469" s="409" t="s">
        <v>1273</v>
      </c>
      <c r="G469" s="1662" t="s">
        <v>1</v>
      </c>
      <c r="H469" s="2848">
        <v>270</v>
      </c>
      <c r="I469" s="2849"/>
      <c r="J469" s="2850"/>
      <c r="K469" s="2812"/>
      <c r="L469" s="2812"/>
      <c r="M469" s="2812"/>
      <c r="N469" s="2851">
        <v>280</v>
      </c>
      <c r="O469" s="2812"/>
      <c r="P469" s="2812"/>
      <c r="Q469" s="2812"/>
      <c r="R469" s="2812"/>
      <c r="S469" s="2812"/>
      <c r="T469" s="2812"/>
      <c r="U469" s="2848">
        <v>290</v>
      </c>
    </row>
    <row r="470" spans="1:21" ht="26" x14ac:dyDescent="0.25">
      <c r="A470" s="1233"/>
      <c r="B470" s="2989" t="s">
        <v>1272</v>
      </c>
      <c r="C470" s="1183"/>
      <c r="D470" s="409" t="s">
        <v>506</v>
      </c>
      <c r="E470" s="409" t="s">
        <v>506</v>
      </c>
      <c r="F470" s="409" t="s">
        <v>1270</v>
      </c>
      <c r="G470" s="1662"/>
      <c r="H470" s="2848">
        <f>H471</f>
        <v>117</v>
      </c>
      <c r="I470" s="2849">
        <f>I475</f>
        <v>0</v>
      </c>
      <c r="J470" s="2850">
        <f>J475</f>
        <v>0</v>
      </c>
      <c r="K470" s="2812"/>
      <c r="L470" s="2812"/>
      <c r="M470" s="2812"/>
      <c r="N470" s="2848">
        <f t="shared" ref="N470:U470" si="124">N471</f>
        <v>122</v>
      </c>
      <c r="O470" s="2812">
        <f t="shared" si="124"/>
        <v>0</v>
      </c>
      <c r="P470" s="2812">
        <f t="shared" si="124"/>
        <v>0</v>
      </c>
      <c r="Q470" s="2812">
        <f t="shared" si="124"/>
        <v>0</v>
      </c>
      <c r="R470" s="2812">
        <f t="shared" si="124"/>
        <v>0</v>
      </c>
      <c r="S470" s="2812">
        <f t="shared" si="124"/>
        <v>0</v>
      </c>
      <c r="T470" s="2812">
        <f t="shared" si="124"/>
        <v>0</v>
      </c>
      <c r="U470" s="2848">
        <f t="shared" si="124"/>
        <v>122</v>
      </c>
    </row>
    <row r="471" spans="1:21" x14ac:dyDescent="0.25">
      <c r="A471" s="1233"/>
      <c r="B471" s="762" t="s">
        <v>1037</v>
      </c>
      <c r="C471" s="1183"/>
      <c r="D471" s="409" t="s">
        <v>506</v>
      </c>
      <c r="E471" s="409" t="s">
        <v>506</v>
      </c>
      <c r="F471" s="409" t="s">
        <v>1269</v>
      </c>
      <c r="G471" s="1662"/>
      <c r="H471" s="2848">
        <f>H473</f>
        <v>117</v>
      </c>
      <c r="I471" s="2849"/>
      <c r="J471" s="2850"/>
      <c r="K471" s="2812"/>
      <c r="L471" s="2812"/>
      <c r="M471" s="2812"/>
      <c r="N471" s="2851">
        <f>N473</f>
        <v>122</v>
      </c>
      <c r="O471" s="2812"/>
      <c r="P471" s="2812"/>
      <c r="Q471" s="2812"/>
      <c r="R471" s="2812"/>
      <c r="S471" s="2812"/>
      <c r="T471" s="2812"/>
      <c r="U471" s="2848">
        <f>U473</f>
        <v>122</v>
      </c>
    </row>
    <row r="472" spans="1:21" x14ac:dyDescent="0.25">
      <c r="A472" s="1233"/>
      <c r="B472" s="753" t="s">
        <v>948</v>
      </c>
      <c r="C472" s="1183"/>
      <c r="D472" s="409" t="s">
        <v>506</v>
      </c>
      <c r="E472" s="409" t="s">
        <v>506</v>
      </c>
      <c r="F472" s="409" t="s">
        <v>1269</v>
      </c>
      <c r="G472" s="1662" t="s">
        <v>955</v>
      </c>
      <c r="H472" s="2848">
        <f>H473</f>
        <v>117</v>
      </c>
      <c r="I472" s="2849"/>
      <c r="J472" s="2850"/>
      <c r="K472" s="2812"/>
      <c r="L472" s="2812"/>
      <c r="M472" s="2812"/>
      <c r="N472" s="2851">
        <f t="shared" ref="N472:U472" si="125">N473</f>
        <v>122</v>
      </c>
      <c r="O472" s="2812">
        <f t="shared" si="125"/>
        <v>0</v>
      </c>
      <c r="P472" s="2812">
        <f t="shared" si="125"/>
        <v>0</v>
      </c>
      <c r="Q472" s="2812">
        <f t="shared" si="125"/>
        <v>0</v>
      </c>
      <c r="R472" s="2812">
        <f t="shared" si="125"/>
        <v>0</v>
      </c>
      <c r="S472" s="2812">
        <f t="shared" si="125"/>
        <v>0</v>
      </c>
      <c r="T472" s="2812">
        <f t="shared" si="125"/>
        <v>0</v>
      </c>
      <c r="U472" s="2848">
        <f t="shared" si="125"/>
        <v>122</v>
      </c>
    </row>
    <row r="473" spans="1:21" ht="21" x14ac:dyDescent="0.25">
      <c r="A473" s="1233"/>
      <c r="B473" s="1191" t="s">
        <v>454</v>
      </c>
      <c r="C473" s="1183"/>
      <c r="D473" s="409" t="s">
        <v>506</v>
      </c>
      <c r="E473" s="409" t="s">
        <v>506</v>
      </c>
      <c r="F473" s="409" t="s">
        <v>1269</v>
      </c>
      <c r="G473" s="1662" t="s">
        <v>1</v>
      </c>
      <c r="H473" s="2848">
        <v>117</v>
      </c>
      <c r="I473" s="2849"/>
      <c r="J473" s="2850"/>
      <c r="K473" s="2812"/>
      <c r="L473" s="2812"/>
      <c r="M473" s="2812"/>
      <c r="N473" s="2851">
        <v>122</v>
      </c>
      <c r="O473" s="2812"/>
      <c r="P473" s="2812"/>
      <c r="Q473" s="2812"/>
      <c r="R473" s="2812"/>
      <c r="S473" s="2812"/>
      <c r="T473" s="2812"/>
      <c r="U473" s="2848">
        <v>122</v>
      </c>
    </row>
    <row r="474" spans="1:21" ht="26" hidden="1" x14ac:dyDescent="0.25">
      <c r="A474" s="1233"/>
      <c r="B474" s="2987" t="s">
        <v>1349</v>
      </c>
      <c r="C474" s="1183"/>
      <c r="D474" s="409" t="s">
        <v>506</v>
      </c>
      <c r="E474" s="409" t="s">
        <v>506</v>
      </c>
      <c r="F474" s="409" t="s">
        <v>1348</v>
      </c>
      <c r="G474" s="1662"/>
      <c r="H474" s="2848">
        <f>H475</f>
        <v>270</v>
      </c>
      <c r="I474" s="2849"/>
      <c r="J474" s="2850"/>
      <c r="K474" s="2812"/>
      <c r="L474" s="2812"/>
      <c r="M474" s="2812"/>
      <c r="N474" s="2851">
        <f t="shared" ref="N474:U474" si="126">N475</f>
        <v>280</v>
      </c>
      <c r="O474" s="2812">
        <f t="shared" si="126"/>
        <v>0</v>
      </c>
      <c r="P474" s="2812">
        <f t="shared" si="126"/>
        <v>0</v>
      </c>
      <c r="Q474" s="2812">
        <f t="shared" si="126"/>
        <v>0</v>
      </c>
      <c r="R474" s="2812">
        <f t="shared" si="126"/>
        <v>0</v>
      </c>
      <c r="S474" s="2812">
        <f t="shared" si="126"/>
        <v>0</v>
      </c>
      <c r="T474" s="2812">
        <f t="shared" si="126"/>
        <v>0</v>
      </c>
      <c r="U474" s="2848">
        <f t="shared" si="126"/>
        <v>290</v>
      </c>
    </row>
    <row r="475" spans="1:21" hidden="1" x14ac:dyDescent="0.25">
      <c r="A475" s="1179"/>
      <c r="B475" s="1205" t="s">
        <v>266</v>
      </c>
      <c r="C475" s="1180"/>
      <c r="D475" s="409" t="s">
        <v>506</v>
      </c>
      <c r="E475" s="409" t="s">
        <v>506</v>
      </c>
      <c r="F475" s="409" t="s">
        <v>1273</v>
      </c>
      <c r="G475" s="1662"/>
      <c r="H475" s="2848">
        <f t="shared" ref="H475:J475" si="127">H477</f>
        <v>270</v>
      </c>
      <c r="I475" s="2849">
        <f t="shared" si="127"/>
        <v>0</v>
      </c>
      <c r="J475" s="2850">
        <f t="shared" si="127"/>
        <v>0</v>
      </c>
      <c r="K475" s="2812"/>
      <c r="L475" s="2812"/>
      <c r="M475" s="2812"/>
      <c r="N475" s="2851">
        <f t="shared" ref="N475" si="128">N477</f>
        <v>280</v>
      </c>
      <c r="O475" s="2812"/>
      <c r="P475" s="2812"/>
      <c r="Q475" s="2812"/>
      <c r="R475" s="2812"/>
      <c r="S475" s="2812"/>
      <c r="T475" s="2812"/>
      <c r="U475" s="2848">
        <f t="shared" ref="U475" si="129">U477</f>
        <v>290</v>
      </c>
    </row>
    <row r="476" spans="1:21" hidden="1" x14ac:dyDescent="0.25">
      <c r="A476" s="1179"/>
      <c r="B476" s="753" t="s">
        <v>948</v>
      </c>
      <c r="C476" s="1180"/>
      <c r="D476" s="409" t="s">
        <v>506</v>
      </c>
      <c r="E476" s="409" t="s">
        <v>506</v>
      </c>
      <c r="F476" s="409" t="s">
        <v>1273</v>
      </c>
      <c r="G476" s="1662" t="s">
        <v>955</v>
      </c>
      <c r="H476" s="2848">
        <f t="shared" ref="H476:U476" si="130">H477</f>
        <v>270</v>
      </c>
      <c r="I476" s="2849">
        <f t="shared" si="130"/>
        <v>0</v>
      </c>
      <c r="J476" s="2850">
        <f t="shared" si="130"/>
        <v>0</v>
      </c>
      <c r="K476" s="2812">
        <f t="shared" si="130"/>
        <v>0</v>
      </c>
      <c r="L476" s="2812">
        <f t="shared" si="130"/>
        <v>0</v>
      </c>
      <c r="M476" s="2812">
        <f t="shared" si="130"/>
        <v>0</v>
      </c>
      <c r="N476" s="2851">
        <f t="shared" si="130"/>
        <v>280</v>
      </c>
      <c r="O476" s="2812">
        <f t="shared" si="130"/>
        <v>0</v>
      </c>
      <c r="P476" s="2812">
        <f t="shared" si="130"/>
        <v>0</v>
      </c>
      <c r="Q476" s="2812">
        <f t="shared" si="130"/>
        <v>0</v>
      </c>
      <c r="R476" s="2812">
        <f t="shared" si="130"/>
        <v>0</v>
      </c>
      <c r="S476" s="2812">
        <f t="shared" si="130"/>
        <v>0</v>
      </c>
      <c r="T476" s="2812">
        <f t="shared" si="130"/>
        <v>0</v>
      </c>
      <c r="U476" s="2848">
        <f t="shared" si="130"/>
        <v>290</v>
      </c>
    </row>
    <row r="477" spans="1:21" ht="21" hidden="1" x14ac:dyDescent="0.25">
      <c r="A477" s="1179"/>
      <c r="B477" s="1191" t="s">
        <v>454</v>
      </c>
      <c r="C477" s="1183"/>
      <c r="D477" s="409" t="s">
        <v>506</v>
      </c>
      <c r="E477" s="409" t="s">
        <v>506</v>
      </c>
      <c r="F477" s="409" t="s">
        <v>1273</v>
      </c>
      <c r="G477" s="1662" t="s">
        <v>1</v>
      </c>
      <c r="H477" s="2848">
        <v>270</v>
      </c>
      <c r="I477" s="2849"/>
      <c r="J477" s="2850"/>
      <c r="K477" s="2812"/>
      <c r="L477" s="2812"/>
      <c r="M477" s="2812"/>
      <c r="N477" s="2851">
        <v>280</v>
      </c>
      <c r="O477" s="2812"/>
      <c r="P477" s="2812"/>
      <c r="Q477" s="2812"/>
      <c r="R477" s="2812"/>
      <c r="S477" s="2812"/>
      <c r="T477" s="2812"/>
      <c r="U477" s="2848">
        <v>290</v>
      </c>
    </row>
    <row r="478" spans="1:21" ht="26.15" customHeight="1" x14ac:dyDescent="0.25">
      <c r="A478" s="1179"/>
      <c r="B478" s="1093" t="s">
        <v>1277</v>
      </c>
      <c r="C478" s="1183"/>
      <c r="D478" s="409" t="s">
        <v>506</v>
      </c>
      <c r="E478" s="409" t="s">
        <v>506</v>
      </c>
      <c r="F478" s="409" t="s">
        <v>1276</v>
      </c>
      <c r="G478" s="1662"/>
      <c r="H478" s="2848">
        <f>H481+H484</f>
        <v>5500</v>
      </c>
      <c r="I478" s="2849"/>
      <c r="J478" s="2850"/>
      <c r="K478" s="2812"/>
      <c r="L478" s="2812"/>
      <c r="M478" s="2812"/>
      <c r="N478" s="2851">
        <f>N481+N484</f>
        <v>0</v>
      </c>
      <c r="O478" s="2812"/>
      <c r="P478" s="2812"/>
      <c r="Q478" s="2812"/>
      <c r="R478" s="2812"/>
      <c r="S478" s="2812"/>
      <c r="T478" s="2812"/>
      <c r="U478" s="2848">
        <f>U481+U484</f>
        <v>0</v>
      </c>
    </row>
    <row r="479" spans="1:21" x14ac:dyDescent="0.25">
      <c r="A479" s="1179"/>
      <c r="B479" s="1393" t="s">
        <v>1212</v>
      </c>
      <c r="C479" s="1183"/>
      <c r="D479" s="409" t="s">
        <v>506</v>
      </c>
      <c r="E479" s="409" t="s">
        <v>506</v>
      </c>
      <c r="F479" s="409" t="s">
        <v>1275</v>
      </c>
      <c r="G479" s="1662"/>
      <c r="H479" s="2848">
        <f>H480</f>
        <v>5500</v>
      </c>
      <c r="I479" s="2849"/>
      <c r="J479" s="2850"/>
      <c r="K479" s="2812"/>
      <c r="L479" s="2812"/>
      <c r="M479" s="2812"/>
      <c r="N479" s="2851">
        <f>N480</f>
        <v>0</v>
      </c>
      <c r="O479" s="2812"/>
      <c r="P479" s="2812"/>
      <c r="Q479" s="2812"/>
      <c r="R479" s="2812"/>
      <c r="S479" s="2812"/>
      <c r="T479" s="2812"/>
      <c r="U479" s="2848">
        <f>U480</f>
        <v>0</v>
      </c>
    </row>
    <row r="480" spans="1:21" x14ac:dyDescent="0.25">
      <c r="A480" s="1179"/>
      <c r="B480" s="753" t="s">
        <v>948</v>
      </c>
      <c r="C480" s="1183"/>
      <c r="D480" s="409" t="s">
        <v>506</v>
      </c>
      <c r="E480" s="409" t="s">
        <v>506</v>
      </c>
      <c r="F480" s="409" t="s">
        <v>1275</v>
      </c>
      <c r="G480" s="1662" t="s">
        <v>955</v>
      </c>
      <c r="H480" s="2848">
        <f>H481</f>
        <v>5500</v>
      </c>
      <c r="I480" s="2849"/>
      <c r="J480" s="2850"/>
      <c r="K480" s="2812"/>
      <c r="L480" s="2812"/>
      <c r="M480" s="2812"/>
      <c r="N480" s="2851">
        <f>N481</f>
        <v>0</v>
      </c>
      <c r="O480" s="2812"/>
      <c r="P480" s="2812"/>
      <c r="Q480" s="2812"/>
      <c r="R480" s="2812"/>
      <c r="S480" s="2812"/>
      <c r="T480" s="2812"/>
      <c r="U480" s="2848">
        <f>U481</f>
        <v>0</v>
      </c>
    </row>
    <row r="481" spans="1:27" ht="21" x14ac:dyDescent="0.25">
      <c r="A481" s="1179"/>
      <c r="B481" s="1191" t="s">
        <v>454</v>
      </c>
      <c r="C481" s="1183"/>
      <c r="D481" s="409" t="s">
        <v>506</v>
      </c>
      <c r="E481" s="409" t="s">
        <v>506</v>
      </c>
      <c r="F481" s="409" t="s">
        <v>1275</v>
      </c>
      <c r="G481" s="1662" t="s">
        <v>1</v>
      </c>
      <c r="H481" s="2848">
        <f>5499.95+0.045+0.005</f>
        <v>5500</v>
      </c>
      <c r="I481" s="2849"/>
      <c r="J481" s="2850"/>
      <c r="K481" s="2812"/>
      <c r="L481" s="2812"/>
      <c r="M481" s="2812"/>
      <c r="N481" s="2851">
        <v>0</v>
      </c>
      <c r="O481" s="2812"/>
      <c r="P481" s="2812"/>
      <c r="Q481" s="2812"/>
      <c r="R481" s="2812"/>
      <c r="S481" s="2812"/>
      <c r="T481" s="2812"/>
      <c r="U481" s="2848">
        <v>0</v>
      </c>
    </row>
    <row r="482" spans="1:27" hidden="1" x14ac:dyDescent="0.25">
      <c r="A482" s="1179"/>
      <c r="B482" s="1393" t="s">
        <v>1216</v>
      </c>
      <c r="C482" s="1183"/>
      <c r="D482" s="409" t="s">
        <v>506</v>
      </c>
      <c r="E482" s="409" t="s">
        <v>506</v>
      </c>
      <c r="F482" s="409" t="s">
        <v>1214</v>
      </c>
      <c r="G482" s="1662"/>
      <c r="H482" s="2848">
        <f>H483</f>
        <v>0</v>
      </c>
      <c r="I482" s="2849"/>
      <c r="J482" s="2850"/>
      <c r="K482" s="2812"/>
      <c r="L482" s="2812"/>
      <c r="M482" s="2812"/>
      <c r="N482" s="2851">
        <f>N483</f>
        <v>0</v>
      </c>
      <c r="O482" s="2812"/>
      <c r="P482" s="2812"/>
      <c r="Q482" s="2812"/>
      <c r="R482" s="2812"/>
      <c r="S482" s="2812"/>
      <c r="T482" s="2812"/>
      <c r="U482" s="2848">
        <f>U483</f>
        <v>0</v>
      </c>
    </row>
    <row r="483" spans="1:27" hidden="1" x14ac:dyDescent="0.25">
      <c r="A483" s="1179"/>
      <c r="B483" s="753" t="s">
        <v>948</v>
      </c>
      <c r="C483" s="1183"/>
      <c r="D483" s="409" t="s">
        <v>506</v>
      </c>
      <c r="E483" s="409" t="s">
        <v>506</v>
      </c>
      <c r="F483" s="409" t="s">
        <v>1214</v>
      </c>
      <c r="G483" s="1662" t="s">
        <v>955</v>
      </c>
      <c r="H483" s="2848">
        <f>H484</f>
        <v>0</v>
      </c>
      <c r="I483" s="2849"/>
      <c r="J483" s="2850"/>
      <c r="K483" s="2812"/>
      <c r="L483" s="2812"/>
      <c r="M483" s="2812"/>
      <c r="N483" s="2851">
        <f>N484</f>
        <v>0</v>
      </c>
      <c r="O483" s="2812"/>
      <c r="P483" s="2812"/>
      <c r="Q483" s="2812"/>
      <c r="R483" s="2812"/>
      <c r="S483" s="2812"/>
      <c r="T483" s="2812"/>
      <c r="U483" s="2848">
        <f>U484</f>
        <v>0</v>
      </c>
    </row>
    <row r="484" spans="1:27" ht="21" hidden="1" x14ac:dyDescent="0.25">
      <c r="A484" s="1179"/>
      <c r="B484" s="1191" t="s">
        <v>454</v>
      </c>
      <c r="C484" s="1183"/>
      <c r="D484" s="409" t="s">
        <v>506</v>
      </c>
      <c r="E484" s="409" t="s">
        <v>506</v>
      </c>
      <c r="F484" s="409" t="s">
        <v>1214</v>
      </c>
      <c r="G484" s="1662" t="s">
        <v>1</v>
      </c>
      <c r="H484" s="2848">
        <v>0</v>
      </c>
      <c r="I484" s="2849"/>
      <c r="J484" s="2850"/>
      <c r="K484" s="2812"/>
      <c r="L484" s="2812"/>
      <c r="M484" s="2812"/>
      <c r="N484" s="2851">
        <v>0</v>
      </c>
      <c r="O484" s="2812"/>
      <c r="P484" s="2812"/>
      <c r="Q484" s="2812"/>
      <c r="R484" s="2812"/>
      <c r="S484" s="2812"/>
      <c r="T484" s="2812"/>
      <c r="U484" s="2848">
        <v>0</v>
      </c>
    </row>
    <row r="485" spans="1:27" s="760" customFormat="1" ht="13" x14ac:dyDescent="0.3">
      <c r="A485" s="842"/>
      <c r="B485" s="1251" t="s">
        <v>460</v>
      </c>
      <c r="C485" s="408"/>
      <c r="D485" s="1221" t="s">
        <v>453</v>
      </c>
      <c r="E485" s="1221" t="s">
        <v>459</v>
      </c>
      <c r="F485" s="408"/>
      <c r="G485" s="1661"/>
      <c r="H485" s="2852">
        <f>H486+H505</f>
        <v>18222.86</v>
      </c>
      <c r="I485" s="2853"/>
      <c r="J485" s="2854"/>
      <c r="K485" s="2855"/>
      <c r="L485" s="2855"/>
      <c r="M485" s="2855"/>
      <c r="N485" s="2856">
        <f>N486+N505</f>
        <v>18910.781640000001</v>
      </c>
      <c r="O485" s="2855"/>
      <c r="P485" s="2855"/>
      <c r="Q485" s="2855"/>
      <c r="R485" s="2855"/>
      <c r="S485" s="2855"/>
      <c r="T485" s="2855"/>
      <c r="U485" s="2852">
        <f>U486+U505</f>
        <v>19703.75418</v>
      </c>
    </row>
    <row r="486" spans="1:27" x14ac:dyDescent="0.25">
      <c r="A486" s="1179"/>
      <c r="B486" s="1173" t="s">
        <v>87</v>
      </c>
      <c r="C486" s="1177"/>
      <c r="D486" s="408" t="s">
        <v>453</v>
      </c>
      <c r="E486" s="408" t="s">
        <v>456</v>
      </c>
      <c r="F486" s="408"/>
      <c r="G486" s="1661"/>
      <c r="H486" s="2852">
        <f>H487</f>
        <v>16347.86</v>
      </c>
      <c r="I486" s="2853">
        <f>I487+I498</f>
        <v>0</v>
      </c>
      <c r="J486" s="2854">
        <f>J487+J498</f>
        <v>0</v>
      </c>
      <c r="K486" s="2812"/>
      <c r="L486" s="2812"/>
      <c r="M486" s="2812"/>
      <c r="N486" s="2856">
        <f>N487+N497</f>
        <v>16923.281640000001</v>
      </c>
      <c r="O486" s="2812"/>
      <c r="P486" s="2812"/>
      <c r="Q486" s="2812"/>
      <c r="R486" s="2812"/>
      <c r="S486" s="2812"/>
      <c r="T486" s="2812"/>
      <c r="U486" s="2852">
        <f>U487+U497</f>
        <v>14897.00418</v>
      </c>
    </row>
    <row r="487" spans="1:27" ht="24.75" customHeight="1" x14ac:dyDescent="0.25">
      <c r="A487" s="1179"/>
      <c r="B487" s="753" t="s">
        <v>932</v>
      </c>
      <c r="C487" s="1177"/>
      <c r="D487" s="409" t="s">
        <v>453</v>
      </c>
      <c r="E487" s="409" t="s">
        <v>456</v>
      </c>
      <c r="F487" s="409" t="s">
        <v>273</v>
      </c>
      <c r="G487" s="1661"/>
      <c r="H487" s="2852">
        <f>H488</f>
        <v>16347.86</v>
      </c>
      <c r="I487" s="2853">
        <f t="shared" ref="I487:J489" si="131">I488</f>
        <v>0</v>
      </c>
      <c r="J487" s="2854">
        <f t="shared" si="131"/>
        <v>0</v>
      </c>
      <c r="K487" s="2822">
        <f>K492+K494+K496+K501+K511+K504</f>
        <v>976.8</v>
      </c>
      <c r="L487" s="2812"/>
      <c r="M487" s="2812"/>
      <c r="N487" s="2856">
        <f>N488</f>
        <v>16923.281640000001</v>
      </c>
      <c r="O487" s="2812"/>
      <c r="P487" s="2812"/>
      <c r="Q487" s="2812"/>
      <c r="R487" s="2812"/>
      <c r="S487" s="2812"/>
      <c r="T487" s="2812"/>
      <c r="U487" s="2852">
        <f>U488</f>
        <v>14897.00418</v>
      </c>
    </row>
    <row r="488" spans="1:27" ht="27.75" customHeight="1" x14ac:dyDescent="0.25">
      <c r="A488" s="1179"/>
      <c r="B488" s="1205" t="s">
        <v>1263</v>
      </c>
      <c r="C488" s="1180"/>
      <c r="D488" s="409" t="s">
        <v>453</v>
      </c>
      <c r="E488" s="409" t="s">
        <v>456</v>
      </c>
      <c r="F488" s="409" t="s">
        <v>1271</v>
      </c>
      <c r="G488" s="1662"/>
      <c r="H488" s="2848">
        <f>H489</f>
        <v>16347.86</v>
      </c>
      <c r="I488" s="2849">
        <f t="shared" si="131"/>
        <v>0</v>
      </c>
      <c r="J488" s="2850">
        <f t="shared" si="131"/>
        <v>0</v>
      </c>
      <c r="K488" s="2812"/>
      <c r="L488" s="2812"/>
      <c r="M488" s="2812"/>
      <c r="N488" s="2851">
        <f>N489</f>
        <v>16923.281640000001</v>
      </c>
      <c r="O488" s="2812"/>
      <c r="P488" s="2812"/>
      <c r="Q488" s="2812"/>
      <c r="R488" s="2812"/>
      <c r="S488" s="2812"/>
      <c r="T488" s="2812"/>
      <c r="U488" s="2848">
        <f>U489</f>
        <v>14897.00418</v>
      </c>
    </row>
    <row r="489" spans="1:27" x14ac:dyDescent="0.25">
      <c r="A489" s="842"/>
      <c r="B489" s="1205" t="s">
        <v>1280</v>
      </c>
      <c r="C489" s="1180"/>
      <c r="D489" s="409" t="s">
        <v>453</v>
      </c>
      <c r="E489" s="409" t="s">
        <v>456</v>
      </c>
      <c r="F489" s="409" t="s">
        <v>1279</v>
      </c>
      <c r="G489" s="1662"/>
      <c r="H489" s="2881">
        <f>H490+H502</f>
        <v>16347.86</v>
      </c>
      <c r="I489" s="2882">
        <f t="shared" si="131"/>
        <v>0</v>
      </c>
      <c r="J489" s="2883">
        <f t="shared" si="131"/>
        <v>0</v>
      </c>
      <c r="K489" s="2884"/>
      <c r="L489" s="2884"/>
      <c r="M489" s="2884"/>
      <c r="N489" s="2885">
        <f>N492+N494+N496+N504</f>
        <v>16923.281640000001</v>
      </c>
      <c r="O489" s="2884"/>
      <c r="P489" s="2884"/>
      <c r="Q489" s="2884"/>
      <c r="R489" s="2884"/>
      <c r="S489" s="2884"/>
      <c r="T489" s="2884"/>
      <c r="U489" s="2881">
        <f>U492+U494+U496+U504</f>
        <v>14897.00418</v>
      </c>
    </row>
    <row r="490" spans="1:27" x14ac:dyDescent="0.25">
      <c r="A490" s="842"/>
      <c r="B490" s="1197" t="s">
        <v>351</v>
      </c>
      <c r="C490" s="1180"/>
      <c r="D490" s="409" t="s">
        <v>453</v>
      </c>
      <c r="E490" s="409" t="s">
        <v>456</v>
      </c>
      <c r="F490" s="409" t="s">
        <v>1278</v>
      </c>
      <c r="G490" s="1662"/>
      <c r="H490" s="2881">
        <f>H492+H494+H496</f>
        <v>12784.26</v>
      </c>
      <c r="I490" s="2882">
        <f>I492</f>
        <v>0</v>
      </c>
      <c r="J490" s="2883">
        <f>J492</f>
        <v>0</v>
      </c>
      <c r="K490" s="2884"/>
      <c r="L490" s="2884"/>
      <c r="M490" s="2884"/>
      <c r="N490" s="2885">
        <f>N492+N494+N496</f>
        <v>13218.137640000001</v>
      </c>
      <c r="O490" s="2884"/>
      <c r="P490" s="2884"/>
      <c r="Q490" s="2884"/>
      <c r="R490" s="2884"/>
      <c r="S490" s="2884"/>
      <c r="T490" s="2884"/>
      <c r="U490" s="2881">
        <f>U492+U494+U496</f>
        <v>14897.00418</v>
      </c>
    </row>
    <row r="491" spans="1:27" ht="39" x14ac:dyDescent="0.25">
      <c r="A491" s="842"/>
      <c r="B491" s="49" t="s">
        <v>1063</v>
      </c>
      <c r="C491" s="1180"/>
      <c r="D491" s="409" t="s">
        <v>453</v>
      </c>
      <c r="E491" s="409" t="s">
        <v>456</v>
      </c>
      <c r="F491" s="1231" t="s">
        <v>1278</v>
      </c>
      <c r="G491" s="1662" t="s">
        <v>1062</v>
      </c>
      <c r="H491" s="2881">
        <f t="shared" ref="H491:U491" si="132">H492</f>
        <v>8228.9009999999998</v>
      </c>
      <c r="I491" s="2882">
        <f t="shared" si="132"/>
        <v>0</v>
      </c>
      <c r="J491" s="2883">
        <f t="shared" si="132"/>
        <v>0</v>
      </c>
      <c r="K491" s="2884">
        <f t="shared" si="132"/>
        <v>0</v>
      </c>
      <c r="L491" s="2884">
        <f t="shared" si="132"/>
        <v>0</v>
      </c>
      <c r="M491" s="2884">
        <f t="shared" si="132"/>
        <v>0</v>
      </c>
      <c r="N491" s="2885">
        <f t="shared" si="132"/>
        <v>8558.0571</v>
      </c>
      <c r="O491" s="2884">
        <f t="shared" si="132"/>
        <v>0</v>
      </c>
      <c r="P491" s="2884">
        <f t="shared" si="132"/>
        <v>0</v>
      </c>
      <c r="Q491" s="2884">
        <f t="shared" si="132"/>
        <v>0</v>
      </c>
      <c r="R491" s="2884">
        <f t="shared" si="132"/>
        <v>0</v>
      </c>
      <c r="S491" s="2884">
        <f t="shared" si="132"/>
        <v>0</v>
      </c>
      <c r="T491" s="2884">
        <f t="shared" si="132"/>
        <v>0</v>
      </c>
      <c r="U491" s="2881">
        <f t="shared" si="132"/>
        <v>8900.3799999999992</v>
      </c>
    </row>
    <row r="492" spans="1:27" x14ac:dyDescent="0.25">
      <c r="A492" s="842"/>
      <c r="B492" s="753" t="s">
        <v>840</v>
      </c>
      <c r="C492" s="1180"/>
      <c r="D492" s="409" t="s">
        <v>453</v>
      </c>
      <c r="E492" s="409" t="s">
        <v>456</v>
      </c>
      <c r="F492" s="1231" t="s">
        <v>1278</v>
      </c>
      <c r="G492" s="1662" t="s">
        <v>255</v>
      </c>
      <c r="H492" s="2848">
        <v>8228.9009999999998</v>
      </c>
      <c r="I492" s="2849"/>
      <c r="J492" s="2850"/>
      <c r="K492" s="2812"/>
      <c r="L492" s="2812"/>
      <c r="M492" s="2812"/>
      <c r="N492" s="2851">
        <v>8558.0571</v>
      </c>
      <c r="O492" s="2812"/>
      <c r="P492" s="2812"/>
      <c r="Q492" s="2812"/>
      <c r="R492" s="2812"/>
      <c r="S492" s="2812"/>
      <c r="T492" s="2812"/>
      <c r="U492" s="2848">
        <v>8900.3799999999992</v>
      </c>
    </row>
    <row r="493" spans="1:27" x14ac:dyDescent="0.25">
      <c r="A493" s="842"/>
      <c r="B493" s="753" t="s">
        <v>948</v>
      </c>
      <c r="C493" s="1180"/>
      <c r="D493" s="409" t="s">
        <v>453</v>
      </c>
      <c r="E493" s="409" t="s">
        <v>456</v>
      </c>
      <c r="F493" s="1231" t="s">
        <v>1278</v>
      </c>
      <c r="G493" s="1662" t="s">
        <v>955</v>
      </c>
      <c r="H493" s="2848">
        <f t="shared" ref="H493:U493" si="133">H494</f>
        <v>4554.3590000000004</v>
      </c>
      <c r="I493" s="2849">
        <f t="shared" si="133"/>
        <v>0</v>
      </c>
      <c r="J493" s="2850">
        <f t="shared" si="133"/>
        <v>0</v>
      </c>
      <c r="K493" s="2812">
        <f t="shared" si="133"/>
        <v>0</v>
      </c>
      <c r="L493" s="2812">
        <f t="shared" si="133"/>
        <v>0</v>
      </c>
      <c r="M493" s="2812">
        <f t="shared" si="133"/>
        <v>0</v>
      </c>
      <c r="N493" s="2851">
        <f t="shared" si="133"/>
        <v>4659.0805399999999</v>
      </c>
      <c r="O493" s="2812">
        <f t="shared" si="133"/>
        <v>0</v>
      </c>
      <c r="P493" s="2812">
        <f t="shared" si="133"/>
        <v>0</v>
      </c>
      <c r="Q493" s="2812">
        <f t="shared" si="133"/>
        <v>0</v>
      </c>
      <c r="R493" s="2812">
        <f t="shared" si="133"/>
        <v>0</v>
      </c>
      <c r="S493" s="2812">
        <f t="shared" si="133"/>
        <v>0</v>
      </c>
      <c r="T493" s="2812">
        <f t="shared" si="133"/>
        <v>0</v>
      </c>
      <c r="U493" s="2848">
        <f t="shared" si="133"/>
        <v>5995.6241799999998</v>
      </c>
    </row>
    <row r="494" spans="1:27" ht="21" x14ac:dyDescent="0.25">
      <c r="A494" s="1179"/>
      <c r="B494" s="1182" t="s">
        <v>454</v>
      </c>
      <c r="C494" s="1183"/>
      <c r="D494" s="409" t="s">
        <v>453</v>
      </c>
      <c r="E494" s="409" t="s">
        <v>456</v>
      </c>
      <c r="F494" s="1231" t="s">
        <v>1278</v>
      </c>
      <c r="G494" s="1662" t="s">
        <v>1</v>
      </c>
      <c r="H494" s="2848">
        <f>3476+918.359+160</f>
        <v>4554.3590000000004</v>
      </c>
      <c r="I494" s="2849"/>
      <c r="J494" s="2850"/>
      <c r="K494" s="2834"/>
      <c r="L494" s="2812"/>
      <c r="M494" s="2812"/>
      <c r="N494" s="2851">
        <v>4659.0805399999999</v>
      </c>
      <c r="O494" s="2812"/>
      <c r="P494" s="2812"/>
      <c r="Q494" s="2812"/>
      <c r="R494" s="2812"/>
      <c r="S494" s="2812"/>
      <c r="T494" s="2812"/>
      <c r="U494" s="2848">
        <f>6174.62417-1+0.00001-178</f>
        <v>5995.6241799999998</v>
      </c>
      <c r="Z494" s="1">
        <f>-278.4*2</f>
        <v>-556.79999999999995</v>
      </c>
      <c r="AA494" s="1">
        <v>1333.1</v>
      </c>
    </row>
    <row r="495" spans="1:27" x14ac:dyDescent="0.25">
      <c r="A495" s="1179"/>
      <c r="B495" s="1182" t="s">
        <v>1068</v>
      </c>
      <c r="C495" s="1183"/>
      <c r="D495" s="409" t="s">
        <v>453</v>
      </c>
      <c r="E495" s="409" t="s">
        <v>456</v>
      </c>
      <c r="F495" s="1231" t="s">
        <v>1278</v>
      </c>
      <c r="G495" s="1662" t="s">
        <v>1064</v>
      </c>
      <c r="H495" s="2848">
        <f t="shared" ref="H495:U495" si="134">H496</f>
        <v>1</v>
      </c>
      <c r="I495" s="2849">
        <f t="shared" si="134"/>
        <v>0</v>
      </c>
      <c r="J495" s="2850">
        <f t="shared" si="134"/>
        <v>0</v>
      </c>
      <c r="K495" s="2834">
        <f t="shared" si="134"/>
        <v>0</v>
      </c>
      <c r="L495" s="2812">
        <f t="shared" si="134"/>
        <v>0</v>
      </c>
      <c r="M495" s="2812">
        <f t="shared" si="134"/>
        <v>0</v>
      </c>
      <c r="N495" s="2851">
        <f t="shared" si="134"/>
        <v>1</v>
      </c>
      <c r="O495" s="2812">
        <f t="shared" si="134"/>
        <v>0</v>
      </c>
      <c r="P495" s="2812">
        <f t="shared" si="134"/>
        <v>0</v>
      </c>
      <c r="Q495" s="2812">
        <f t="shared" si="134"/>
        <v>0</v>
      </c>
      <c r="R495" s="2812">
        <f t="shared" si="134"/>
        <v>0</v>
      </c>
      <c r="S495" s="2812">
        <f t="shared" si="134"/>
        <v>0</v>
      </c>
      <c r="T495" s="2812">
        <f t="shared" si="134"/>
        <v>0</v>
      </c>
      <c r="U495" s="2848">
        <f t="shared" si="134"/>
        <v>1</v>
      </c>
    </row>
    <row r="496" spans="1:27" x14ac:dyDescent="0.25">
      <c r="A496" s="1179"/>
      <c r="B496" s="1182" t="s">
        <v>457</v>
      </c>
      <c r="C496" s="1183"/>
      <c r="D496" s="409" t="s">
        <v>453</v>
      </c>
      <c r="E496" s="409" t="s">
        <v>456</v>
      </c>
      <c r="F496" s="1231" t="s">
        <v>1278</v>
      </c>
      <c r="G496" s="1662" t="s">
        <v>91</v>
      </c>
      <c r="H496" s="2848">
        <v>1</v>
      </c>
      <c r="I496" s="2849"/>
      <c r="J496" s="2850"/>
      <c r="K496" s="2812"/>
      <c r="L496" s="2812"/>
      <c r="M496" s="2812"/>
      <c r="N496" s="2851">
        <v>1</v>
      </c>
      <c r="O496" s="2812"/>
      <c r="P496" s="2812"/>
      <c r="Q496" s="2812"/>
      <c r="R496" s="2812"/>
      <c r="S496" s="2812"/>
      <c r="T496" s="2812"/>
      <c r="U496" s="2848">
        <v>1</v>
      </c>
    </row>
    <row r="497" spans="1:27" s="760" customFormat="1" ht="0.75" customHeight="1" x14ac:dyDescent="0.3">
      <c r="A497" s="842"/>
      <c r="B497" s="1242" t="s">
        <v>499</v>
      </c>
      <c r="C497" s="1207"/>
      <c r="D497" s="408" t="s">
        <v>453</v>
      </c>
      <c r="E497" s="408" t="s">
        <v>456</v>
      </c>
      <c r="F497" s="408" t="s">
        <v>273</v>
      </c>
      <c r="G497" s="1661"/>
      <c r="H497" s="2852">
        <f>H498</f>
        <v>0</v>
      </c>
      <c r="I497" s="2853"/>
      <c r="J497" s="2854"/>
      <c r="K497" s="2812"/>
      <c r="L497" s="2855"/>
      <c r="M497" s="2855"/>
      <c r="N497" s="2856">
        <f>N498</f>
        <v>0</v>
      </c>
      <c r="O497" s="2855"/>
      <c r="P497" s="2855"/>
      <c r="Q497" s="2855"/>
      <c r="R497" s="2855"/>
      <c r="S497" s="2855"/>
      <c r="T497" s="2855"/>
      <c r="U497" s="2852">
        <f>U498</f>
        <v>0</v>
      </c>
    </row>
    <row r="498" spans="1:27" ht="27.75" hidden="1" customHeight="1" x14ac:dyDescent="0.25">
      <c r="A498" s="1179"/>
      <c r="B498" s="753" t="s">
        <v>109</v>
      </c>
      <c r="C498" s="1180"/>
      <c r="D498" s="409" t="s">
        <v>453</v>
      </c>
      <c r="E498" s="409" t="s">
        <v>456</v>
      </c>
      <c r="F498" s="409" t="s">
        <v>260</v>
      </c>
      <c r="G498" s="1662"/>
      <c r="H498" s="2848">
        <f>H499</f>
        <v>0</v>
      </c>
      <c r="I498" s="2849">
        <f>I499</f>
        <v>0</v>
      </c>
      <c r="J498" s="2850">
        <f>J499</f>
        <v>0</v>
      </c>
      <c r="K498" s="2812"/>
      <c r="L498" s="2812"/>
      <c r="M498" s="2812"/>
      <c r="N498" s="2851">
        <f>N499</f>
        <v>0</v>
      </c>
      <c r="O498" s="2812"/>
      <c r="P498" s="2812"/>
      <c r="Q498" s="2812"/>
      <c r="R498" s="2812"/>
      <c r="S498" s="2812"/>
      <c r="T498" s="2812"/>
      <c r="U498" s="2848">
        <f>U499</f>
        <v>0</v>
      </c>
    </row>
    <row r="499" spans="1:27" ht="24.75" hidden="1" customHeight="1" x14ac:dyDescent="0.25">
      <c r="A499" s="1179"/>
      <c r="B499" s="1205" t="s">
        <v>109</v>
      </c>
      <c r="C499" s="1180"/>
      <c r="D499" s="409" t="s">
        <v>453</v>
      </c>
      <c r="E499" s="409" t="s">
        <v>456</v>
      </c>
      <c r="F499" s="409" t="s">
        <v>258</v>
      </c>
      <c r="G499" s="1662"/>
      <c r="H499" s="2848"/>
      <c r="I499" s="2849"/>
      <c r="J499" s="2850"/>
      <c r="K499" s="2812"/>
      <c r="L499" s="2812"/>
      <c r="M499" s="2812"/>
      <c r="N499" s="2851"/>
      <c r="O499" s="2812"/>
      <c r="P499" s="2812"/>
      <c r="Q499" s="2812"/>
      <c r="R499" s="2812"/>
      <c r="S499" s="2812"/>
      <c r="T499" s="2812"/>
      <c r="U499" s="2848"/>
    </row>
    <row r="500" spans="1:27" ht="45" hidden="1" customHeight="1" x14ac:dyDescent="0.25">
      <c r="A500" s="1179"/>
      <c r="B500" s="1205" t="s">
        <v>830</v>
      </c>
      <c r="C500" s="1180"/>
      <c r="D500" s="409" t="s">
        <v>453</v>
      </c>
      <c r="E500" s="409" t="s">
        <v>456</v>
      </c>
      <c r="F500" s="409" t="s">
        <v>831</v>
      </c>
      <c r="G500" s="1662"/>
      <c r="H500" s="2848">
        <f>H501</f>
        <v>0</v>
      </c>
      <c r="I500" s="2849">
        <f>I501+I507</f>
        <v>0</v>
      </c>
      <c r="J500" s="2850">
        <f>J501+J507</f>
        <v>0</v>
      </c>
      <c r="K500" s="2812"/>
      <c r="L500" s="2812"/>
      <c r="M500" s="2812"/>
      <c r="N500" s="2851">
        <f>N501</f>
        <v>0</v>
      </c>
      <c r="O500" s="2812"/>
      <c r="P500" s="2812"/>
      <c r="Q500" s="2812"/>
      <c r="R500" s="2812"/>
      <c r="S500" s="2812"/>
      <c r="T500" s="2812"/>
      <c r="U500" s="2848">
        <f>U501</f>
        <v>0</v>
      </c>
    </row>
    <row r="501" spans="1:27" ht="50.25" hidden="1" customHeight="1" x14ac:dyDescent="0.25">
      <c r="A501" s="1179"/>
      <c r="B501" s="1197" t="s">
        <v>841</v>
      </c>
      <c r="C501" s="1180"/>
      <c r="D501" s="409" t="s">
        <v>453</v>
      </c>
      <c r="E501" s="409" t="s">
        <v>456</v>
      </c>
      <c r="F501" s="409" t="s">
        <v>831</v>
      </c>
      <c r="G501" s="1662" t="s">
        <v>255</v>
      </c>
      <c r="H501" s="2848"/>
      <c r="I501" s="2849">
        <f>I505</f>
        <v>0</v>
      </c>
      <c r="J501" s="2850">
        <f>J505</f>
        <v>0</v>
      </c>
      <c r="K501" s="2812">
        <v>976.8</v>
      </c>
      <c r="L501" s="2812"/>
      <c r="M501" s="2812"/>
      <c r="N501" s="2851"/>
      <c r="O501" s="2812"/>
      <c r="P501" s="2812"/>
      <c r="Q501" s="2812"/>
      <c r="R501" s="2812"/>
      <c r="S501" s="2812"/>
      <c r="T501" s="2812"/>
      <c r="U501" s="2848"/>
    </row>
    <row r="502" spans="1:27" ht="31.5" x14ac:dyDescent="0.25">
      <c r="A502" s="1179"/>
      <c r="B502" s="1205" t="s">
        <v>1203</v>
      </c>
      <c r="C502" s="1180"/>
      <c r="D502" s="409" t="s">
        <v>453</v>
      </c>
      <c r="E502" s="409" t="s">
        <v>456</v>
      </c>
      <c r="F502" s="409" t="s">
        <v>1281</v>
      </c>
      <c r="G502" s="1662"/>
      <c r="H502" s="2848">
        <f>H504</f>
        <v>3563.6</v>
      </c>
      <c r="I502" s="2849"/>
      <c r="J502" s="2850"/>
      <c r="K502" s="2812"/>
      <c r="L502" s="2812"/>
      <c r="M502" s="2812"/>
      <c r="N502" s="2851">
        <f>N504</f>
        <v>3705.1439999999998</v>
      </c>
      <c r="O502" s="2812"/>
      <c r="P502" s="2812"/>
      <c r="Q502" s="2812"/>
      <c r="R502" s="2812"/>
      <c r="S502" s="2812"/>
      <c r="T502" s="2812"/>
      <c r="U502" s="2848">
        <f>U504</f>
        <v>0</v>
      </c>
      <c r="V502" s="1861">
        <v>2666.2</v>
      </c>
      <c r="W502" s="1861">
        <v>2666.2</v>
      </c>
      <c r="X502" s="1861">
        <v>2666.2</v>
      </c>
      <c r="Y502" s="2266" t="s">
        <v>444</v>
      </c>
    </row>
    <row r="503" spans="1:27" ht="39" x14ac:dyDescent="0.25">
      <c r="A503" s="1179"/>
      <c r="B503" s="49" t="s">
        <v>1063</v>
      </c>
      <c r="C503" s="1180"/>
      <c r="D503" s="409" t="s">
        <v>453</v>
      </c>
      <c r="E503" s="409" t="s">
        <v>456</v>
      </c>
      <c r="F503" s="1231" t="s">
        <v>1281</v>
      </c>
      <c r="G503" s="1662" t="s">
        <v>1062</v>
      </c>
      <c r="H503" s="2848">
        <f t="shared" ref="H503:U503" si="135">H504</f>
        <v>3563.6</v>
      </c>
      <c r="I503" s="2849">
        <f t="shared" si="135"/>
        <v>0</v>
      </c>
      <c r="J503" s="2850">
        <f t="shared" si="135"/>
        <v>0</v>
      </c>
      <c r="K503" s="2812">
        <f t="shared" si="135"/>
        <v>0</v>
      </c>
      <c r="L503" s="2812">
        <f t="shared" si="135"/>
        <v>0</v>
      </c>
      <c r="M503" s="2812">
        <f t="shared" si="135"/>
        <v>0</v>
      </c>
      <c r="N503" s="2871">
        <f t="shared" si="135"/>
        <v>3705.1439999999998</v>
      </c>
      <c r="O503" s="2812">
        <f t="shared" si="135"/>
        <v>0</v>
      </c>
      <c r="P503" s="2812">
        <f t="shared" si="135"/>
        <v>0</v>
      </c>
      <c r="Q503" s="2812">
        <f t="shared" si="135"/>
        <v>0</v>
      </c>
      <c r="R503" s="2812">
        <f t="shared" si="135"/>
        <v>0</v>
      </c>
      <c r="S503" s="2812">
        <f t="shared" si="135"/>
        <v>0</v>
      </c>
      <c r="T503" s="2812">
        <f t="shared" si="135"/>
        <v>0</v>
      </c>
      <c r="U503" s="2848">
        <f t="shared" si="135"/>
        <v>0</v>
      </c>
      <c r="V503" s="1861"/>
      <c r="W503" s="1861"/>
      <c r="X503" s="1861"/>
      <c r="Y503" s="2266"/>
    </row>
    <row r="504" spans="1:27" x14ac:dyDescent="0.25">
      <c r="A504" s="1179"/>
      <c r="B504" s="1197" t="s">
        <v>841</v>
      </c>
      <c r="C504" s="1180"/>
      <c r="D504" s="409" t="s">
        <v>453</v>
      </c>
      <c r="E504" s="409" t="s">
        <v>456</v>
      </c>
      <c r="F504" s="1231" t="s">
        <v>1281</v>
      </c>
      <c r="G504" s="1662" t="s">
        <v>255</v>
      </c>
      <c r="H504" s="2848">
        <f>1781.8+1781.8</f>
        <v>3563.6</v>
      </c>
      <c r="I504" s="2849"/>
      <c r="J504" s="2850"/>
      <c r="K504" s="2812"/>
      <c r="L504" s="2812"/>
      <c r="M504" s="2812"/>
      <c r="N504" s="2848">
        <f>1853.072+1853.072-1</f>
        <v>3705.1439999999998</v>
      </c>
      <c r="O504" s="2812"/>
      <c r="P504" s="2812"/>
      <c r="Q504" s="2812"/>
      <c r="R504" s="2812"/>
      <c r="S504" s="2812"/>
      <c r="T504" s="2812"/>
      <c r="U504" s="2848">
        <v>0</v>
      </c>
      <c r="V504" s="1861">
        <v>2666.2</v>
      </c>
      <c r="W504" s="1861">
        <v>2666.2</v>
      </c>
      <c r="X504" s="1861">
        <v>2666.2</v>
      </c>
      <c r="Z504" s="1">
        <f>278.4*2</f>
        <v>556.79999999999995</v>
      </c>
      <c r="AA504" s="1">
        <v>-2666.2</v>
      </c>
    </row>
    <row r="505" spans="1:27" s="760" customFormat="1" ht="13" x14ac:dyDescent="0.3">
      <c r="A505" s="842"/>
      <c r="B505" s="1252" t="s">
        <v>244</v>
      </c>
      <c r="C505" s="1177"/>
      <c r="D505" s="408" t="s">
        <v>453</v>
      </c>
      <c r="E505" s="408" t="s">
        <v>452</v>
      </c>
      <c r="F505" s="408"/>
      <c r="G505" s="1661"/>
      <c r="H505" s="2852">
        <f>H506</f>
        <v>1875</v>
      </c>
      <c r="I505" s="2853">
        <f>I506</f>
        <v>0</v>
      </c>
      <c r="J505" s="2854">
        <f>J506</f>
        <v>0</v>
      </c>
      <c r="K505" s="2855"/>
      <c r="L505" s="2855"/>
      <c r="M505" s="2855"/>
      <c r="N505" s="2856">
        <f>N506</f>
        <v>1987.5</v>
      </c>
      <c r="O505" s="2855"/>
      <c r="P505" s="2855"/>
      <c r="Q505" s="2855"/>
      <c r="R505" s="2855"/>
      <c r="S505" s="2855"/>
      <c r="T505" s="2855"/>
      <c r="U505" s="2852">
        <f>U506</f>
        <v>4806.75</v>
      </c>
    </row>
    <row r="506" spans="1:27" ht="21" x14ac:dyDescent="0.25">
      <c r="A506" s="1179"/>
      <c r="B506" s="1242" t="s">
        <v>933</v>
      </c>
      <c r="C506" s="1183"/>
      <c r="D506" s="409" t="s">
        <v>453</v>
      </c>
      <c r="E506" s="409" t="s">
        <v>452</v>
      </c>
      <c r="F506" s="409" t="s">
        <v>273</v>
      </c>
      <c r="G506" s="1662"/>
      <c r="H506" s="2848">
        <f>H507</f>
        <v>1875</v>
      </c>
      <c r="I506" s="2849"/>
      <c r="J506" s="2850"/>
      <c r="K506" s="2812"/>
      <c r="L506" s="2812"/>
      <c r="M506" s="2812"/>
      <c r="N506" s="2851">
        <f>N507</f>
        <v>1987.5</v>
      </c>
      <c r="O506" s="2812"/>
      <c r="P506" s="2812"/>
      <c r="Q506" s="2812"/>
      <c r="R506" s="2812"/>
      <c r="S506" s="2812"/>
      <c r="T506" s="2812"/>
      <c r="U506" s="2848">
        <f>U507</f>
        <v>4806.75</v>
      </c>
    </row>
    <row r="507" spans="1:27" ht="13" x14ac:dyDescent="0.25">
      <c r="A507" s="1179"/>
      <c r="B507" s="157" t="s">
        <v>1263</v>
      </c>
      <c r="C507" s="1183"/>
      <c r="D507" s="409" t="s">
        <v>453</v>
      </c>
      <c r="E507" s="409" t="s">
        <v>452</v>
      </c>
      <c r="F507" s="409" t="s">
        <v>1271</v>
      </c>
      <c r="G507" s="1662"/>
      <c r="H507" s="2848">
        <f>H508</f>
        <v>1875</v>
      </c>
      <c r="I507" s="2849">
        <f>I508+I511</f>
        <v>0</v>
      </c>
      <c r="J507" s="2850">
        <f>J508+J511</f>
        <v>0</v>
      </c>
      <c r="K507" s="2812"/>
      <c r="L507" s="2812"/>
      <c r="M507" s="2812"/>
      <c r="N507" s="2851">
        <f>N508</f>
        <v>1987.5</v>
      </c>
      <c r="O507" s="2812"/>
      <c r="P507" s="2812"/>
      <c r="Q507" s="2812"/>
      <c r="R507" s="2812"/>
      <c r="S507" s="2812"/>
      <c r="T507" s="2812"/>
      <c r="U507" s="2848">
        <f>U508</f>
        <v>4806.75</v>
      </c>
    </row>
    <row r="508" spans="1:27" ht="26" x14ac:dyDescent="0.25">
      <c r="A508" s="1179"/>
      <c r="B508" s="1093" t="s">
        <v>1280</v>
      </c>
      <c r="C508" s="1180"/>
      <c r="D508" s="409" t="s">
        <v>453</v>
      </c>
      <c r="E508" s="409" t="s">
        <v>452</v>
      </c>
      <c r="F508" s="409" t="s">
        <v>1279</v>
      </c>
      <c r="G508" s="1662"/>
      <c r="H508" s="2848">
        <f>H509</f>
        <v>1875</v>
      </c>
      <c r="I508" s="2849">
        <f>I509</f>
        <v>0</v>
      </c>
      <c r="J508" s="2850">
        <f>J509</f>
        <v>0</v>
      </c>
      <c r="K508" s="2812"/>
      <c r="L508" s="2812"/>
      <c r="M508" s="2812"/>
      <c r="N508" s="2851">
        <f>N509</f>
        <v>1987.5</v>
      </c>
      <c r="O508" s="2812"/>
      <c r="P508" s="2812"/>
      <c r="Q508" s="2812"/>
      <c r="R508" s="2812"/>
      <c r="S508" s="2812"/>
      <c r="T508" s="2812"/>
      <c r="U508" s="2848">
        <f>U509</f>
        <v>4806.75</v>
      </c>
    </row>
    <row r="509" spans="1:27" x14ac:dyDescent="0.25">
      <c r="A509" s="1179"/>
      <c r="B509" s="1242" t="s">
        <v>248</v>
      </c>
      <c r="C509" s="1183"/>
      <c r="D509" s="409" t="s">
        <v>453</v>
      </c>
      <c r="E509" s="409" t="s">
        <v>452</v>
      </c>
      <c r="F509" s="1231" t="s">
        <v>1282</v>
      </c>
      <c r="G509" s="1662"/>
      <c r="H509" s="2848">
        <f>H511</f>
        <v>1875</v>
      </c>
      <c r="I509" s="2849">
        <v>0</v>
      </c>
      <c r="J509" s="2850">
        <v>0</v>
      </c>
      <c r="K509" s="2812"/>
      <c r="L509" s="2812"/>
      <c r="M509" s="2812"/>
      <c r="N509" s="2851">
        <f>N511</f>
        <v>1987.5</v>
      </c>
      <c r="O509" s="2812"/>
      <c r="P509" s="2812"/>
      <c r="Q509" s="2812"/>
      <c r="R509" s="2812"/>
      <c r="S509" s="2812"/>
      <c r="T509" s="2812"/>
      <c r="U509" s="2848">
        <f>U511</f>
        <v>4806.75</v>
      </c>
    </row>
    <row r="510" spans="1:27" x14ac:dyDescent="0.25">
      <c r="A510" s="1179"/>
      <c r="B510" s="753" t="s">
        <v>948</v>
      </c>
      <c r="C510" s="1183"/>
      <c r="D510" s="409" t="s">
        <v>453</v>
      </c>
      <c r="E510" s="409" t="s">
        <v>452</v>
      </c>
      <c r="F510" s="1231" t="s">
        <v>1282</v>
      </c>
      <c r="G510" s="1662" t="s">
        <v>955</v>
      </c>
      <c r="H510" s="2848">
        <f t="shared" ref="H510:U510" si="136">H511</f>
        <v>1875</v>
      </c>
      <c r="I510" s="2849">
        <f t="shared" si="136"/>
        <v>0</v>
      </c>
      <c r="J510" s="2850">
        <f t="shared" si="136"/>
        <v>0</v>
      </c>
      <c r="K510" s="2812">
        <f t="shared" si="136"/>
        <v>0</v>
      </c>
      <c r="L510" s="2812">
        <f t="shared" si="136"/>
        <v>0</v>
      </c>
      <c r="M510" s="2812">
        <f t="shared" si="136"/>
        <v>0</v>
      </c>
      <c r="N510" s="2851">
        <f t="shared" si="136"/>
        <v>1987.5</v>
      </c>
      <c r="O510" s="2812">
        <f t="shared" si="136"/>
        <v>0</v>
      </c>
      <c r="P510" s="2812">
        <f t="shared" si="136"/>
        <v>0</v>
      </c>
      <c r="Q510" s="2812">
        <f t="shared" si="136"/>
        <v>0</v>
      </c>
      <c r="R510" s="2812">
        <f t="shared" si="136"/>
        <v>0</v>
      </c>
      <c r="S510" s="2812">
        <f t="shared" si="136"/>
        <v>0</v>
      </c>
      <c r="T510" s="2812">
        <f t="shared" si="136"/>
        <v>0</v>
      </c>
      <c r="U510" s="2848">
        <f t="shared" si="136"/>
        <v>4806.75</v>
      </c>
    </row>
    <row r="511" spans="1:27" ht="21" customHeight="1" x14ac:dyDescent="0.25">
      <c r="A511" s="1179"/>
      <c r="B511" s="753" t="s">
        <v>454</v>
      </c>
      <c r="C511" s="1180"/>
      <c r="D511" s="409" t="s">
        <v>453</v>
      </c>
      <c r="E511" s="409" t="s">
        <v>452</v>
      </c>
      <c r="F511" s="1231" t="s">
        <v>1282</v>
      </c>
      <c r="G511" s="1662" t="s">
        <v>1</v>
      </c>
      <c r="H511" s="2848">
        <v>1875</v>
      </c>
      <c r="I511" s="2849"/>
      <c r="J511" s="2850"/>
      <c r="K511" s="2812"/>
      <c r="L511" s="2812"/>
      <c r="M511" s="2812"/>
      <c r="N511" s="2851">
        <v>1987.5</v>
      </c>
      <c r="O511" s="2812"/>
      <c r="P511" s="2812"/>
      <c r="Q511" s="2812"/>
      <c r="R511" s="2812"/>
      <c r="S511" s="2812"/>
      <c r="T511" s="2812"/>
      <c r="U511" s="2848">
        <f>1806.75+3000</f>
        <v>4806.75</v>
      </c>
    </row>
    <row r="512" spans="1:27" ht="21" hidden="1" x14ac:dyDescent="0.25">
      <c r="A512" s="1179"/>
      <c r="B512" s="1182" t="s">
        <v>454</v>
      </c>
      <c r="C512" s="1183"/>
      <c r="D512" s="409" t="s">
        <v>453</v>
      </c>
      <c r="E512" s="409" t="s">
        <v>452</v>
      </c>
      <c r="F512" s="409" t="s">
        <v>500</v>
      </c>
      <c r="G512" s="1662" t="s">
        <v>26</v>
      </c>
      <c r="H512" s="2848"/>
      <c r="I512" s="2849"/>
      <c r="J512" s="2850"/>
      <c r="K512" s="2812"/>
      <c r="L512" s="2812"/>
      <c r="M512" s="2812"/>
      <c r="N512" s="2851"/>
      <c r="O512" s="2812"/>
      <c r="P512" s="2812"/>
      <c r="Q512" s="2812"/>
      <c r="R512" s="2812"/>
      <c r="S512" s="2812"/>
      <c r="T512" s="2812"/>
      <c r="U512" s="2848"/>
    </row>
    <row r="513" spans="1:21" x14ac:dyDescent="0.25">
      <c r="A513" s="1179"/>
      <c r="B513" s="1184" t="s">
        <v>334</v>
      </c>
      <c r="C513" s="1177"/>
      <c r="D513" s="408" t="s">
        <v>496</v>
      </c>
      <c r="E513" s="408" t="s">
        <v>459</v>
      </c>
      <c r="F513" s="408"/>
      <c r="G513" s="1661"/>
      <c r="H513" s="2852">
        <f>H514+H521</f>
        <v>718.50800000000004</v>
      </c>
      <c r="I513" s="2853">
        <f>I514+I521</f>
        <v>585.81999999999994</v>
      </c>
      <c r="J513" s="2886">
        <f>J514+J521</f>
        <v>610.88699999999994</v>
      </c>
      <c r="K513" s="2812"/>
      <c r="L513" s="2812"/>
      <c r="M513" s="2812"/>
      <c r="N513" s="2856">
        <f>N514+N521</f>
        <v>718.50800000000004</v>
      </c>
      <c r="O513" s="2812"/>
      <c r="P513" s="2812"/>
      <c r="Q513" s="2812"/>
      <c r="R513" s="2812"/>
      <c r="S513" s="2812"/>
      <c r="T513" s="2812"/>
      <c r="U513" s="2852">
        <f>U514+U521</f>
        <v>747.24800000000005</v>
      </c>
    </row>
    <row r="514" spans="1:21" x14ac:dyDescent="0.25">
      <c r="A514" s="1179"/>
      <c r="B514" s="1184" t="s">
        <v>79</v>
      </c>
      <c r="C514" s="1177"/>
      <c r="D514" s="408" t="s">
        <v>496</v>
      </c>
      <c r="E514" s="408" t="s">
        <v>456</v>
      </c>
      <c r="F514" s="408"/>
      <c r="G514" s="1661"/>
      <c r="H514" s="2852">
        <f t="shared" ref="H514:J517" si="137">H515</f>
        <v>718.50800000000004</v>
      </c>
      <c r="I514" s="2853">
        <f t="shared" si="137"/>
        <v>0</v>
      </c>
      <c r="J514" s="2886">
        <f t="shared" si="137"/>
        <v>0</v>
      </c>
      <c r="K514" s="2822">
        <v>615.01599999999996</v>
      </c>
      <c r="L514" s="2812"/>
      <c r="M514" s="2812"/>
      <c r="N514" s="2856">
        <f t="shared" ref="N514:N517" si="138">N515</f>
        <v>718.50800000000004</v>
      </c>
      <c r="O514" s="2812"/>
      <c r="P514" s="2812"/>
      <c r="Q514" s="2812"/>
      <c r="R514" s="2812"/>
      <c r="S514" s="2812"/>
      <c r="T514" s="2812"/>
      <c r="U514" s="2852">
        <f t="shared" ref="U514:U517" si="139">U515</f>
        <v>747.24800000000005</v>
      </c>
    </row>
    <row r="515" spans="1:21" ht="21" x14ac:dyDescent="0.25">
      <c r="A515" s="1179"/>
      <c r="B515" s="753" t="s">
        <v>499</v>
      </c>
      <c r="C515" s="1177"/>
      <c r="D515" s="409" t="s">
        <v>496</v>
      </c>
      <c r="E515" s="409" t="s">
        <v>456</v>
      </c>
      <c r="F515" s="409" t="s">
        <v>89</v>
      </c>
      <c r="G515" s="1661"/>
      <c r="H515" s="2852">
        <f t="shared" si="137"/>
        <v>718.50800000000004</v>
      </c>
      <c r="I515" s="2853">
        <f t="shared" si="137"/>
        <v>0</v>
      </c>
      <c r="J515" s="2886">
        <f t="shared" si="137"/>
        <v>0</v>
      </c>
      <c r="K515" s="2812"/>
      <c r="L515" s="2812"/>
      <c r="M515" s="2812"/>
      <c r="N515" s="2856">
        <f t="shared" si="138"/>
        <v>718.50800000000004</v>
      </c>
      <c r="O515" s="2812"/>
      <c r="P515" s="2812"/>
      <c r="Q515" s="2812"/>
      <c r="R515" s="2812"/>
      <c r="S515" s="2812"/>
      <c r="T515" s="2812"/>
      <c r="U515" s="2852">
        <f t="shared" si="139"/>
        <v>747.24800000000005</v>
      </c>
    </row>
    <row r="516" spans="1:21" x14ac:dyDescent="0.25">
      <c r="A516" s="1179"/>
      <c r="B516" s="753" t="s">
        <v>109</v>
      </c>
      <c r="C516" s="1180"/>
      <c r="D516" s="409" t="s">
        <v>496</v>
      </c>
      <c r="E516" s="409" t="s">
        <v>456</v>
      </c>
      <c r="F516" s="409" t="s">
        <v>84</v>
      </c>
      <c r="G516" s="1662"/>
      <c r="H516" s="2848">
        <f t="shared" si="137"/>
        <v>718.50800000000004</v>
      </c>
      <c r="I516" s="2849">
        <f t="shared" si="137"/>
        <v>0</v>
      </c>
      <c r="J516" s="2865">
        <f t="shared" si="137"/>
        <v>0</v>
      </c>
      <c r="K516" s="2812"/>
      <c r="L516" s="2812"/>
      <c r="M516" s="2812"/>
      <c r="N516" s="2851">
        <f t="shared" si="138"/>
        <v>718.50800000000004</v>
      </c>
      <c r="O516" s="2812"/>
      <c r="P516" s="2812"/>
      <c r="Q516" s="2812"/>
      <c r="R516" s="2812"/>
      <c r="S516" s="2812"/>
      <c r="T516" s="2812"/>
      <c r="U516" s="2848">
        <f t="shared" si="139"/>
        <v>747.24800000000005</v>
      </c>
    </row>
    <row r="517" spans="1:21" x14ac:dyDescent="0.25">
      <c r="A517" s="1179"/>
      <c r="B517" s="753" t="s">
        <v>109</v>
      </c>
      <c r="C517" s="1180"/>
      <c r="D517" s="409" t="s">
        <v>496</v>
      </c>
      <c r="E517" s="409" t="s">
        <v>456</v>
      </c>
      <c r="F517" s="409" t="s">
        <v>82</v>
      </c>
      <c r="G517" s="1662"/>
      <c r="H517" s="2848">
        <f t="shared" si="137"/>
        <v>718.50800000000004</v>
      </c>
      <c r="I517" s="2849">
        <f t="shared" si="137"/>
        <v>0</v>
      </c>
      <c r="J517" s="2865">
        <f t="shared" si="137"/>
        <v>0</v>
      </c>
      <c r="K517" s="2812"/>
      <c r="L517" s="2812"/>
      <c r="M517" s="2812"/>
      <c r="N517" s="2851">
        <f t="shared" si="138"/>
        <v>718.50800000000004</v>
      </c>
      <c r="O517" s="2812"/>
      <c r="P517" s="2812"/>
      <c r="Q517" s="2812"/>
      <c r="R517" s="2812"/>
      <c r="S517" s="2812"/>
      <c r="T517" s="2812"/>
      <c r="U517" s="2848">
        <f t="shared" si="139"/>
        <v>747.24800000000005</v>
      </c>
    </row>
    <row r="518" spans="1:21" x14ac:dyDescent="0.25">
      <c r="A518" s="1179"/>
      <c r="B518" s="753" t="s">
        <v>81</v>
      </c>
      <c r="C518" s="1180"/>
      <c r="D518" s="409" t="s">
        <v>496</v>
      </c>
      <c r="E518" s="409" t="s">
        <v>456</v>
      </c>
      <c r="F518" s="409" t="s">
        <v>78</v>
      </c>
      <c r="G518" s="1662"/>
      <c r="H518" s="2848">
        <f>H520</f>
        <v>718.50800000000004</v>
      </c>
      <c r="I518" s="2849">
        <f>I520</f>
        <v>0</v>
      </c>
      <c r="J518" s="2865">
        <f>J520</f>
        <v>0</v>
      </c>
      <c r="K518" s="2812"/>
      <c r="L518" s="2812"/>
      <c r="M518" s="2812"/>
      <c r="N518" s="2851">
        <f>N520</f>
        <v>718.50800000000004</v>
      </c>
      <c r="O518" s="2812"/>
      <c r="P518" s="2812"/>
      <c r="Q518" s="2812"/>
      <c r="R518" s="2812"/>
      <c r="S518" s="2812"/>
      <c r="T518" s="2812"/>
      <c r="U518" s="2848">
        <f>U520</f>
        <v>747.24800000000005</v>
      </c>
    </row>
    <row r="519" spans="1:21" x14ac:dyDescent="0.25">
      <c r="A519" s="1179"/>
      <c r="B519" s="753" t="s">
        <v>852</v>
      </c>
      <c r="C519" s="1180"/>
      <c r="D519" s="409" t="s">
        <v>496</v>
      </c>
      <c r="E519" s="409" t="s">
        <v>456</v>
      </c>
      <c r="F519" s="409" t="s">
        <v>78</v>
      </c>
      <c r="G519" s="1662" t="s">
        <v>860</v>
      </c>
      <c r="H519" s="2848">
        <f t="shared" ref="H519:U519" si="140">H520</f>
        <v>718.50800000000004</v>
      </c>
      <c r="I519" s="2849">
        <f t="shared" si="140"/>
        <v>0</v>
      </c>
      <c r="J519" s="2866">
        <f t="shared" si="140"/>
        <v>0</v>
      </c>
      <c r="K519" s="2812">
        <f t="shared" si="140"/>
        <v>0</v>
      </c>
      <c r="L519" s="2812">
        <f t="shared" si="140"/>
        <v>0</v>
      </c>
      <c r="M519" s="2812">
        <f t="shared" si="140"/>
        <v>0</v>
      </c>
      <c r="N519" s="2851">
        <f t="shared" si="140"/>
        <v>718.50800000000004</v>
      </c>
      <c r="O519" s="2812">
        <f t="shared" si="140"/>
        <v>0</v>
      </c>
      <c r="P519" s="2812">
        <f t="shared" si="140"/>
        <v>0</v>
      </c>
      <c r="Q519" s="2812">
        <f t="shared" si="140"/>
        <v>0</v>
      </c>
      <c r="R519" s="2812">
        <f t="shared" si="140"/>
        <v>0</v>
      </c>
      <c r="S519" s="2812">
        <f t="shared" si="140"/>
        <v>0</v>
      </c>
      <c r="T519" s="2812">
        <f t="shared" si="140"/>
        <v>0</v>
      </c>
      <c r="U519" s="2848">
        <f t="shared" si="140"/>
        <v>747.24800000000005</v>
      </c>
    </row>
    <row r="520" spans="1:21" x14ac:dyDescent="0.25">
      <c r="A520" s="1179"/>
      <c r="B520" s="1236" t="s">
        <v>497</v>
      </c>
      <c r="C520" s="1183"/>
      <c r="D520" s="409" t="s">
        <v>496</v>
      </c>
      <c r="E520" s="409" t="s">
        <v>456</v>
      </c>
      <c r="F520" s="409" t="s">
        <v>78</v>
      </c>
      <c r="G520" s="1662" t="s">
        <v>77</v>
      </c>
      <c r="H520" s="2848">
        <v>718.50800000000004</v>
      </c>
      <c r="I520" s="2849"/>
      <c r="J520" s="2850"/>
      <c r="K520" s="2812"/>
      <c r="L520" s="2812"/>
      <c r="M520" s="2812"/>
      <c r="N520" s="2851">
        <v>718.50800000000004</v>
      </c>
      <c r="O520" s="2812"/>
      <c r="P520" s="2812"/>
      <c r="Q520" s="2812"/>
      <c r="R520" s="2812"/>
      <c r="S520" s="2812"/>
      <c r="T520" s="2812"/>
      <c r="U520" s="2848">
        <v>747.24800000000005</v>
      </c>
    </row>
    <row r="521" spans="1:21" hidden="1" x14ac:dyDescent="0.25">
      <c r="A521" s="1179"/>
      <c r="B521" s="1184" t="s">
        <v>45</v>
      </c>
      <c r="C521" s="1177"/>
      <c r="D521" s="408" t="s">
        <v>496</v>
      </c>
      <c r="E521" s="408" t="s">
        <v>495</v>
      </c>
      <c r="F521" s="408"/>
      <c r="G521" s="1661"/>
      <c r="H521" s="2852">
        <f t="shared" ref="H521:J524" si="141">H522</f>
        <v>0</v>
      </c>
      <c r="I521" s="2853">
        <f t="shared" si="141"/>
        <v>585.81999999999994</v>
      </c>
      <c r="J521" s="2886">
        <f t="shared" si="141"/>
        <v>610.88699999999994</v>
      </c>
      <c r="K521" s="2812"/>
      <c r="L521" s="2812"/>
      <c r="M521" s="2812"/>
      <c r="N521" s="2856">
        <f t="shared" ref="N521:N524" si="142">N522</f>
        <v>0</v>
      </c>
      <c r="O521" s="2812"/>
      <c r="P521" s="2812"/>
      <c r="Q521" s="2812"/>
      <c r="R521" s="2812"/>
      <c r="S521" s="2812"/>
      <c r="T521" s="2812"/>
      <c r="U521" s="2852">
        <f t="shared" ref="U521:U524" si="143">U522</f>
        <v>0</v>
      </c>
    </row>
    <row r="522" spans="1:21" ht="31.5" hidden="1" x14ac:dyDescent="0.25">
      <c r="A522" s="1179"/>
      <c r="B522" s="1203" t="s">
        <v>861</v>
      </c>
      <c r="C522" s="1177"/>
      <c r="D522" s="408" t="s">
        <v>496</v>
      </c>
      <c r="E522" s="408" t="s">
        <v>495</v>
      </c>
      <c r="F522" s="408" t="s">
        <v>468</v>
      </c>
      <c r="G522" s="1661"/>
      <c r="H522" s="2852">
        <f>H523+H527</f>
        <v>0</v>
      </c>
      <c r="I522" s="2853">
        <f t="shared" si="141"/>
        <v>585.81999999999994</v>
      </c>
      <c r="J522" s="2886">
        <f t="shared" si="141"/>
        <v>610.88699999999994</v>
      </c>
      <c r="K522" s="2812"/>
      <c r="L522" s="2812"/>
      <c r="M522" s="2812"/>
      <c r="N522" s="2856">
        <f>N523+N527</f>
        <v>0</v>
      </c>
      <c r="O522" s="2812"/>
      <c r="P522" s="2812"/>
      <c r="Q522" s="2812"/>
      <c r="R522" s="2812"/>
      <c r="S522" s="2812"/>
      <c r="T522" s="2812"/>
      <c r="U522" s="2852">
        <f>U523+U527</f>
        <v>0</v>
      </c>
    </row>
    <row r="523" spans="1:21" hidden="1" x14ac:dyDescent="0.25">
      <c r="A523" s="1179"/>
      <c r="B523" s="1203" t="s">
        <v>849</v>
      </c>
      <c r="C523" s="1180"/>
      <c r="D523" s="409" t="s">
        <v>496</v>
      </c>
      <c r="E523" s="409" t="s">
        <v>495</v>
      </c>
      <c r="F523" s="409" t="s">
        <v>854</v>
      </c>
      <c r="G523" s="1662"/>
      <c r="H523" s="2848">
        <f t="shared" si="141"/>
        <v>0</v>
      </c>
      <c r="I523" s="2849">
        <f t="shared" si="141"/>
        <v>585.81999999999994</v>
      </c>
      <c r="J523" s="2865">
        <f t="shared" si="141"/>
        <v>610.88699999999994</v>
      </c>
      <c r="K523" s="2812"/>
      <c r="L523" s="2812"/>
      <c r="M523" s="2812"/>
      <c r="N523" s="2851">
        <f t="shared" si="142"/>
        <v>0</v>
      </c>
      <c r="O523" s="2812"/>
      <c r="P523" s="2812"/>
      <c r="Q523" s="2812"/>
      <c r="R523" s="2812"/>
      <c r="S523" s="2812"/>
      <c r="T523" s="2812"/>
      <c r="U523" s="2848">
        <f t="shared" si="143"/>
        <v>0</v>
      </c>
    </row>
    <row r="524" spans="1:21" hidden="1" x14ac:dyDescent="0.25">
      <c r="A524" s="1179"/>
      <c r="B524" s="1203" t="s">
        <v>850</v>
      </c>
      <c r="C524" s="1180"/>
      <c r="D524" s="409" t="s">
        <v>496</v>
      </c>
      <c r="E524" s="409" t="s">
        <v>495</v>
      </c>
      <c r="F524" s="409" t="s">
        <v>855</v>
      </c>
      <c r="G524" s="1662"/>
      <c r="H524" s="2848">
        <f t="shared" si="141"/>
        <v>0</v>
      </c>
      <c r="I524" s="2849">
        <f t="shared" si="141"/>
        <v>585.81999999999994</v>
      </c>
      <c r="J524" s="2865">
        <f t="shared" si="141"/>
        <v>610.88699999999994</v>
      </c>
      <c r="K524" s="2812"/>
      <c r="L524" s="2812"/>
      <c r="M524" s="2812"/>
      <c r="N524" s="2851">
        <f t="shared" si="142"/>
        <v>0</v>
      </c>
      <c r="O524" s="2812"/>
      <c r="P524" s="2812"/>
      <c r="Q524" s="2812"/>
      <c r="R524" s="2812"/>
      <c r="S524" s="2812"/>
      <c r="T524" s="2812"/>
      <c r="U524" s="2848">
        <f t="shared" si="143"/>
        <v>0</v>
      </c>
    </row>
    <row r="525" spans="1:21" ht="35.25" hidden="1" customHeight="1" x14ac:dyDescent="0.25">
      <c r="A525" s="1179"/>
      <c r="B525" s="1232" t="s">
        <v>851</v>
      </c>
      <c r="C525" s="1180"/>
      <c r="D525" s="409" t="s">
        <v>496</v>
      </c>
      <c r="E525" s="409" t="s">
        <v>495</v>
      </c>
      <c r="F525" s="1864" t="s">
        <v>856</v>
      </c>
      <c r="G525" s="1662"/>
      <c r="H525" s="2848">
        <f>H526</f>
        <v>0</v>
      </c>
      <c r="I525" s="2849">
        <f>I526+I530+I531</f>
        <v>585.81999999999994</v>
      </c>
      <c r="J525" s="2865">
        <f>J526+J530+J531</f>
        <v>610.88699999999994</v>
      </c>
      <c r="K525" s="2812"/>
      <c r="L525" s="2812"/>
      <c r="M525" s="2812"/>
      <c r="N525" s="2851">
        <f>N526</f>
        <v>0</v>
      </c>
      <c r="O525" s="2812"/>
      <c r="P525" s="2812"/>
      <c r="Q525" s="2812"/>
      <c r="R525" s="2812"/>
      <c r="S525" s="2812"/>
      <c r="T525" s="2812"/>
      <c r="U525" s="2848">
        <f>U526</f>
        <v>0</v>
      </c>
    </row>
    <row r="526" spans="1:21" hidden="1" x14ac:dyDescent="0.25">
      <c r="A526" s="1179"/>
      <c r="B526" s="1236" t="s">
        <v>497</v>
      </c>
      <c r="C526" s="1183"/>
      <c r="D526" s="409" t="s">
        <v>496</v>
      </c>
      <c r="E526" s="409" t="s">
        <v>495</v>
      </c>
      <c r="F526" s="1864" t="s">
        <v>856</v>
      </c>
      <c r="G526" s="1662" t="s">
        <v>77</v>
      </c>
      <c r="H526" s="2867"/>
      <c r="I526" s="2849">
        <v>31.3</v>
      </c>
      <c r="J526" s="2850">
        <v>34.43</v>
      </c>
      <c r="K526" s="2812"/>
      <c r="L526" s="2812"/>
      <c r="M526" s="2812"/>
      <c r="N526" s="2868">
        <v>0</v>
      </c>
      <c r="O526" s="2812"/>
      <c r="P526" s="2812"/>
      <c r="Q526" s="2812"/>
      <c r="R526" s="2812"/>
      <c r="S526" s="2812"/>
      <c r="T526" s="2812"/>
      <c r="U526" s="2867">
        <v>0</v>
      </c>
    </row>
    <row r="527" spans="1:21" ht="21" hidden="1" x14ac:dyDescent="0.25">
      <c r="A527" s="1179"/>
      <c r="B527" s="1203" t="s">
        <v>853</v>
      </c>
      <c r="C527" s="1183"/>
      <c r="D527" s="409" t="s">
        <v>496</v>
      </c>
      <c r="E527" s="409" t="s">
        <v>495</v>
      </c>
      <c r="F527" s="1864" t="s">
        <v>857</v>
      </c>
      <c r="G527" s="1662"/>
      <c r="H527" s="2867">
        <f>H528</f>
        <v>0</v>
      </c>
      <c r="I527" s="2849"/>
      <c r="J527" s="2850"/>
      <c r="K527" s="2812"/>
      <c r="L527" s="2812"/>
      <c r="M527" s="2812"/>
      <c r="N527" s="2868">
        <f>N528</f>
        <v>0</v>
      </c>
      <c r="O527" s="2812"/>
      <c r="P527" s="2812"/>
      <c r="Q527" s="2812"/>
      <c r="R527" s="2812"/>
      <c r="S527" s="2812"/>
      <c r="T527" s="2812"/>
      <c r="U527" s="2867">
        <f>U528</f>
        <v>0</v>
      </c>
    </row>
    <row r="528" spans="1:21" hidden="1" x14ac:dyDescent="0.25">
      <c r="A528" s="1179"/>
      <c r="B528" s="1203" t="s">
        <v>850</v>
      </c>
      <c r="C528" s="1183"/>
      <c r="D528" s="409" t="s">
        <v>496</v>
      </c>
      <c r="E528" s="409" t="s">
        <v>495</v>
      </c>
      <c r="F528" s="409" t="s">
        <v>858</v>
      </c>
      <c r="G528" s="1662"/>
      <c r="H528" s="2867">
        <f>H529</f>
        <v>0</v>
      </c>
      <c r="I528" s="2849"/>
      <c r="J528" s="2850"/>
      <c r="K528" s="2812"/>
      <c r="L528" s="2812"/>
      <c r="M528" s="2812"/>
      <c r="N528" s="2868">
        <f>N529</f>
        <v>0</v>
      </c>
      <c r="O528" s="2812"/>
      <c r="P528" s="2812"/>
      <c r="Q528" s="2812"/>
      <c r="R528" s="2812"/>
      <c r="S528" s="2812"/>
      <c r="T528" s="2812"/>
      <c r="U528" s="2867">
        <f>U529</f>
        <v>0</v>
      </c>
    </row>
    <row r="529" spans="1:21" ht="31.5" hidden="1" x14ac:dyDescent="0.25">
      <c r="A529" s="1179"/>
      <c r="B529" s="1203" t="s">
        <v>851</v>
      </c>
      <c r="C529" s="1183"/>
      <c r="D529" s="409" t="s">
        <v>496</v>
      </c>
      <c r="E529" s="409" t="s">
        <v>495</v>
      </c>
      <c r="F529" s="1864" t="s">
        <v>859</v>
      </c>
      <c r="G529" s="1662"/>
      <c r="H529" s="2867">
        <f>H530</f>
        <v>0</v>
      </c>
      <c r="I529" s="2849"/>
      <c r="J529" s="2850"/>
      <c r="K529" s="2812"/>
      <c r="L529" s="2812"/>
      <c r="M529" s="2812"/>
      <c r="N529" s="2868">
        <f>N530</f>
        <v>0</v>
      </c>
      <c r="O529" s="2812"/>
      <c r="P529" s="2812"/>
      <c r="Q529" s="2812"/>
      <c r="R529" s="2812"/>
      <c r="S529" s="2812"/>
      <c r="T529" s="2812"/>
      <c r="U529" s="2867">
        <f>U530</f>
        <v>0</v>
      </c>
    </row>
    <row r="530" spans="1:21" hidden="1" x14ac:dyDescent="0.25">
      <c r="A530" s="1179"/>
      <c r="B530" s="1236" t="s">
        <v>497</v>
      </c>
      <c r="C530" s="1183"/>
      <c r="D530" s="409" t="s">
        <v>496</v>
      </c>
      <c r="E530" s="409" t="s">
        <v>495</v>
      </c>
      <c r="F530" s="1864" t="s">
        <v>859</v>
      </c>
      <c r="G530" s="1662" t="s">
        <v>77</v>
      </c>
      <c r="H530" s="2867"/>
      <c r="I530" s="2849">
        <v>554.52</v>
      </c>
      <c r="J530" s="2850">
        <v>576.45699999999999</v>
      </c>
      <c r="K530" s="2812"/>
      <c r="L530" s="2812"/>
      <c r="M530" s="2812"/>
      <c r="N530" s="2868">
        <v>0</v>
      </c>
      <c r="O530" s="2812"/>
      <c r="P530" s="2812"/>
      <c r="Q530" s="2812"/>
      <c r="R530" s="2812"/>
      <c r="S530" s="2812"/>
      <c r="T530" s="2812"/>
      <c r="U530" s="2867">
        <v>0</v>
      </c>
    </row>
    <row r="531" spans="1:21" hidden="1" x14ac:dyDescent="0.25">
      <c r="A531" s="1179"/>
      <c r="B531" s="1182" t="s">
        <v>497</v>
      </c>
      <c r="C531" s="1183"/>
      <c r="D531" s="409" t="s">
        <v>496</v>
      </c>
      <c r="E531" s="409" t="s">
        <v>495</v>
      </c>
      <c r="F531" s="409" t="s">
        <v>43</v>
      </c>
      <c r="G531" s="1662" t="s">
        <v>77</v>
      </c>
      <c r="H531" s="2848"/>
      <c r="I531" s="2849"/>
      <c r="J531" s="2850"/>
      <c r="K531" s="2812"/>
      <c r="L531" s="2812"/>
      <c r="M531" s="2812"/>
      <c r="N531" s="2851"/>
      <c r="O531" s="2812"/>
      <c r="P531" s="2812"/>
      <c r="Q531" s="2812"/>
      <c r="R531" s="2812"/>
      <c r="S531" s="2812"/>
      <c r="T531" s="2812"/>
      <c r="U531" s="2848"/>
    </row>
    <row r="532" spans="1:21" x14ac:dyDescent="0.25">
      <c r="A532" s="1179"/>
      <c r="B532" s="1184" t="s">
        <v>331</v>
      </c>
      <c r="C532" s="1177"/>
      <c r="D532" s="408" t="s">
        <v>464</v>
      </c>
      <c r="E532" s="408" t="s">
        <v>459</v>
      </c>
      <c r="F532" s="408"/>
      <c r="G532" s="1661"/>
      <c r="H532" s="2852">
        <f>H533+H541</f>
        <v>250</v>
      </c>
      <c r="I532" s="2853">
        <f>I533+I541</f>
        <v>0</v>
      </c>
      <c r="J532" s="2886">
        <f>J533+J541</f>
        <v>0</v>
      </c>
      <c r="K532" s="2822">
        <v>600</v>
      </c>
      <c r="L532" s="2812"/>
      <c r="M532" s="2812"/>
      <c r="N532" s="2856">
        <f>N533+N541</f>
        <v>750</v>
      </c>
      <c r="O532" s="2812"/>
      <c r="P532" s="2812"/>
      <c r="Q532" s="2812"/>
      <c r="R532" s="2812"/>
      <c r="S532" s="2812"/>
      <c r="T532" s="2812"/>
      <c r="U532" s="2852">
        <f>U533+U541</f>
        <v>750</v>
      </c>
    </row>
    <row r="533" spans="1:21" hidden="1" x14ac:dyDescent="0.25">
      <c r="A533" s="1179"/>
      <c r="B533" s="1184" t="s">
        <v>494</v>
      </c>
      <c r="C533" s="1177"/>
      <c r="D533" s="408" t="s">
        <v>464</v>
      </c>
      <c r="E533" s="408" t="s">
        <v>488</v>
      </c>
      <c r="F533" s="408" t="s">
        <v>106</v>
      </c>
      <c r="G533" s="1661" t="s">
        <v>106</v>
      </c>
      <c r="H533" s="2852">
        <f t="shared" ref="H533:J536" si="144">H534</f>
        <v>0</v>
      </c>
      <c r="I533" s="2853">
        <f t="shared" si="144"/>
        <v>0</v>
      </c>
      <c r="J533" s="2886">
        <f t="shared" si="144"/>
        <v>0</v>
      </c>
      <c r="K533" s="2812"/>
      <c r="L533" s="2812"/>
      <c r="M533" s="2812"/>
      <c r="N533" s="2856">
        <f t="shared" ref="N533:N536" si="145">N534</f>
        <v>0</v>
      </c>
      <c r="O533" s="2812"/>
      <c r="P533" s="2812"/>
      <c r="Q533" s="2812"/>
      <c r="R533" s="2812"/>
      <c r="S533" s="2812"/>
      <c r="T533" s="2812"/>
      <c r="U533" s="2852">
        <f t="shared" ref="U533:U536" si="146">U534</f>
        <v>0</v>
      </c>
    </row>
    <row r="534" spans="1:21" ht="34.5" hidden="1" x14ac:dyDescent="0.25">
      <c r="A534" s="1179"/>
      <c r="B534" s="1184" t="s">
        <v>493</v>
      </c>
      <c r="C534" s="1177"/>
      <c r="D534" s="408" t="s">
        <v>464</v>
      </c>
      <c r="E534" s="408" t="s">
        <v>488</v>
      </c>
      <c r="F534" s="408" t="s">
        <v>311</v>
      </c>
      <c r="G534" s="1661"/>
      <c r="H534" s="2852">
        <f t="shared" si="144"/>
        <v>0</v>
      </c>
      <c r="I534" s="2853">
        <f t="shared" si="144"/>
        <v>0</v>
      </c>
      <c r="J534" s="2886">
        <f t="shared" si="144"/>
        <v>0</v>
      </c>
      <c r="K534" s="2812"/>
      <c r="L534" s="2812"/>
      <c r="M534" s="2812"/>
      <c r="N534" s="2856">
        <f t="shared" si="145"/>
        <v>0</v>
      </c>
      <c r="O534" s="2812"/>
      <c r="P534" s="2812"/>
      <c r="Q534" s="2812"/>
      <c r="R534" s="2812"/>
      <c r="S534" s="2812"/>
      <c r="T534" s="2812"/>
      <c r="U534" s="2852">
        <f t="shared" si="146"/>
        <v>0</v>
      </c>
    </row>
    <row r="535" spans="1:21" ht="34.5" hidden="1" x14ac:dyDescent="0.25">
      <c r="A535" s="1233"/>
      <c r="B535" s="1253" t="s">
        <v>492</v>
      </c>
      <c r="C535" s="1180"/>
      <c r="D535" s="409" t="s">
        <v>464</v>
      </c>
      <c r="E535" s="409" t="s">
        <v>488</v>
      </c>
      <c r="F535" s="409" t="s">
        <v>491</v>
      </c>
      <c r="G535" s="1662"/>
      <c r="H535" s="2848">
        <f t="shared" si="144"/>
        <v>0</v>
      </c>
      <c r="I535" s="2849">
        <f t="shared" si="144"/>
        <v>0</v>
      </c>
      <c r="J535" s="2865">
        <f t="shared" si="144"/>
        <v>0</v>
      </c>
      <c r="K535" s="2812"/>
      <c r="L535" s="2812"/>
      <c r="M535" s="2812"/>
      <c r="N535" s="2851">
        <f t="shared" si="145"/>
        <v>0</v>
      </c>
      <c r="O535" s="2812"/>
      <c r="P535" s="2812"/>
      <c r="Q535" s="2812"/>
      <c r="R535" s="2812"/>
      <c r="S535" s="2812"/>
      <c r="T535" s="2812"/>
      <c r="U535" s="2848">
        <f t="shared" si="146"/>
        <v>0</v>
      </c>
    </row>
    <row r="536" spans="1:21" hidden="1" x14ac:dyDescent="0.25">
      <c r="A536" s="1233"/>
      <c r="B536" s="1253" t="s">
        <v>490</v>
      </c>
      <c r="C536" s="1180"/>
      <c r="D536" s="409" t="s">
        <v>464</v>
      </c>
      <c r="E536" s="409" t="s">
        <v>488</v>
      </c>
      <c r="F536" s="409" t="s">
        <v>489</v>
      </c>
      <c r="G536" s="1662"/>
      <c r="H536" s="2848">
        <f t="shared" si="144"/>
        <v>0</v>
      </c>
      <c r="I536" s="2849">
        <f t="shared" si="144"/>
        <v>0</v>
      </c>
      <c r="J536" s="2865">
        <f t="shared" si="144"/>
        <v>0</v>
      </c>
      <c r="K536" s="2812"/>
      <c r="L536" s="2812"/>
      <c r="M536" s="2812"/>
      <c r="N536" s="2851">
        <f t="shared" si="145"/>
        <v>0</v>
      </c>
      <c r="O536" s="2812"/>
      <c r="P536" s="2812"/>
      <c r="Q536" s="2812"/>
      <c r="R536" s="2812"/>
      <c r="S536" s="2812"/>
      <c r="T536" s="2812"/>
      <c r="U536" s="2848">
        <f t="shared" si="146"/>
        <v>0</v>
      </c>
    </row>
    <row r="537" spans="1:21" hidden="1" x14ac:dyDescent="0.25">
      <c r="A537" s="1233"/>
      <c r="B537" s="1253" t="s">
        <v>351</v>
      </c>
      <c r="C537" s="1180"/>
      <c r="D537" s="409" t="s">
        <v>464</v>
      </c>
      <c r="E537" s="409" t="s">
        <v>488</v>
      </c>
      <c r="F537" s="409" t="s">
        <v>487</v>
      </c>
      <c r="G537" s="1662"/>
      <c r="H537" s="2848">
        <f>H538+H539+H540</f>
        <v>0</v>
      </c>
      <c r="I537" s="2849">
        <f>I538+I539+I540</f>
        <v>0</v>
      </c>
      <c r="J537" s="2865">
        <f>J538+J539+J540</f>
        <v>0</v>
      </c>
      <c r="K537" s="2812"/>
      <c r="L537" s="2812"/>
      <c r="M537" s="2812"/>
      <c r="N537" s="2851">
        <f>N538+N539+N540</f>
        <v>0</v>
      </c>
      <c r="O537" s="2812"/>
      <c r="P537" s="2812"/>
      <c r="Q537" s="2812"/>
      <c r="R537" s="2812"/>
      <c r="S537" s="2812"/>
      <c r="T537" s="2812"/>
      <c r="U537" s="2848">
        <f>U538+U539+U540</f>
        <v>0</v>
      </c>
    </row>
    <row r="538" spans="1:21" hidden="1" x14ac:dyDescent="0.25">
      <c r="A538" s="1179"/>
      <c r="B538" s="1254" t="s">
        <v>458</v>
      </c>
      <c r="C538" s="1183"/>
      <c r="D538" s="409" t="s">
        <v>464</v>
      </c>
      <c r="E538" s="409" t="s">
        <v>488</v>
      </c>
      <c r="F538" s="409" t="s">
        <v>487</v>
      </c>
      <c r="G538" s="1662" t="s">
        <v>255</v>
      </c>
      <c r="H538" s="2848"/>
      <c r="I538" s="2849"/>
      <c r="J538" s="2865"/>
      <c r="K538" s="2812"/>
      <c r="L538" s="2812"/>
      <c r="M538" s="2812"/>
      <c r="N538" s="2851"/>
      <c r="O538" s="2812"/>
      <c r="P538" s="2812"/>
      <c r="Q538" s="2812"/>
      <c r="R538" s="2812"/>
      <c r="S538" s="2812"/>
      <c r="T538" s="2812"/>
      <c r="U538" s="2848"/>
    </row>
    <row r="539" spans="1:21" ht="23" hidden="1" x14ac:dyDescent="0.25">
      <c r="A539" s="1179"/>
      <c r="B539" s="1254" t="s">
        <v>454</v>
      </c>
      <c r="C539" s="1183"/>
      <c r="D539" s="409" t="s">
        <v>464</v>
      </c>
      <c r="E539" s="409" t="s">
        <v>488</v>
      </c>
      <c r="F539" s="409" t="s">
        <v>487</v>
      </c>
      <c r="G539" s="1662" t="s">
        <v>1</v>
      </c>
      <c r="H539" s="2848"/>
      <c r="I539" s="2849"/>
      <c r="J539" s="2865"/>
      <c r="K539" s="2812"/>
      <c r="L539" s="2812"/>
      <c r="M539" s="2812"/>
      <c r="N539" s="2851"/>
      <c r="O539" s="2812"/>
      <c r="P539" s="2812"/>
      <c r="Q539" s="2812"/>
      <c r="R539" s="2812"/>
      <c r="S539" s="2812"/>
      <c r="T539" s="2812"/>
      <c r="U539" s="2848"/>
    </row>
    <row r="540" spans="1:21" hidden="1" x14ac:dyDescent="0.25">
      <c r="A540" s="1179"/>
      <c r="B540" s="1254" t="s">
        <v>457</v>
      </c>
      <c r="C540" s="1183"/>
      <c r="D540" s="409" t="s">
        <v>464</v>
      </c>
      <c r="E540" s="409" t="s">
        <v>488</v>
      </c>
      <c r="F540" s="409" t="s">
        <v>487</v>
      </c>
      <c r="G540" s="1662" t="s">
        <v>91</v>
      </c>
      <c r="H540" s="2848"/>
      <c r="I540" s="2849"/>
      <c r="J540" s="2865"/>
      <c r="K540" s="2812"/>
      <c r="L540" s="2812"/>
      <c r="M540" s="2812"/>
      <c r="N540" s="2851"/>
      <c r="O540" s="2812"/>
      <c r="P540" s="2812"/>
      <c r="Q540" s="2812"/>
      <c r="R540" s="2812"/>
      <c r="S540" s="2812"/>
      <c r="T540" s="2812"/>
      <c r="U540" s="2848"/>
    </row>
    <row r="541" spans="1:21" x14ac:dyDescent="0.25">
      <c r="A541" s="1179"/>
      <c r="B541" s="1184" t="s">
        <v>64</v>
      </c>
      <c r="C541" s="1177"/>
      <c r="D541" s="408" t="s">
        <v>464</v>
      </c>
      <c r="E541" s="408" t="s">
        <v>463</v>
      </c>
      <c r="F541" s="408" t="s">
        <v>106</v>
      </c>
      <c r="G541" s="1661" t="s">
        <v>106</v>
      </c>
      <c r="H541" s="2852">
        <f>H542+H570</f>
        <v>250</v>
      </c>
      <c r="I541" s="2853">
        <f>I542+I570</f>
        <v>0</v>
      </c>
      <c r="J541" s="2886">
        <f>J542+J570</f>
        <v>0</v>
      </c>
      <c r="K541" s="2812"/>
      <c r="L541" s="2812"/>
      <c r="M541" s="2812"/>
      <c r="N541" s="2856">
        <f>N542+N570</f>
        <v>750</v>
      </c>
      <c r="O541" s="2812"/>
      <c r="P541" s="2812"/>
      <c r="Q541" s="2812"/>
      <c r="R541" s="2812"/>
      <c r="S541" s="2812"/>
      <c r="T541" s="2812"/>
      <c r="U541" s="2852">
        <f>U542+U570</f>
        <v>750</v>
      </c>
    </row>
    <row r="542" spans="1:21" ht="30" customHeight="1" x14ac:dyDescent="0.25">
      <c r="A542" s="1179"/>
      <c r="B542" s="1205" t="s">
        <v>906</v>
      </c>
      <c r="C542" s="1177"/>
      <c r="D542" s="409" t="s">
        <v>464</v>
      </c>
      <c r="E542" s="409" t="s">
        <v>463</v>
      </c>
      <c r="F542" s="409" t="s">
        <v>311</v>
      </c>
      <c r="G542" s="1661"/>
      <c r="H542" s="2852">
        <f>H543+H552</f>
        <v>250</v>
      </c>
      <c r="I542" s="2853">
        <f>I543+I552</f>
        <v>0</v>
      </c>
      <c r="J542" s="2886">
        <f>J543+J552</f>
        <v>0</v>
      </c>
      <c r="K542" s="2812"/>
      <c r="L542" s="2812"/>
      <c r="M542" s="2812"/>
      <c r="N542" s="2856">
        <f>N543+N552</f>
        <v>750</v>
      </c>
      <c r="O542" s="2812"/>
      <c r="P542" s="2812"/>
      <c r="Q542" s="2812"/>
      <c r="R542" s="2812"/>
      <c r="S542" s="2812"/>
      <c r="T542" s="2812"/>
      <c r="U542" s="2852">
        <f>U543+U552</f>
        <v>750</v>
      </c>
    </row>
    <row r="543" spans="1:21" ht="21" hidden="1" x14ac:dyDescent="0.25">
      <c r="A543" s="1179"/>
      <c r="B543" s="753" t="s">
        <v>486</v>
      </c>
      <c r="C543" s="1180"/>
      <c r="D543" s="409" t="s">
        <v>464</v>
      </c>
      <c r="E543" s="409" t="s">
        <v>463</v>
      </c>
      <c r="F543" s="409" t="s">
        <v>485</v>
      </c>
      <c r="G543" s="1661"/>
      <c r="H543" s="2848">
        <f>H544+H547</f>
        <v>0</v>
      </c>
      <c r="I543" s="2849">
        <f>I544+I547</f>
        <v>0</v>
      </c>
      <c r="J543" s="2865">
        <f>J544+J547</f>
        <v>0</v>
      </c>
      <c r="K543" s="2812"/>
      <c r="L543" s="2812"/>
      <c r="M543" s="2812"/>
      <c r="N543" s="2851">
        <f>N544+N547</f>
        <v>0</v>
      </c>
      <c r="O543" s="2812"/>
      <c r="P543" s="2812"/>
      <c r="Q543" s="2812"/>
      <c r="R543" s="2812"/>
      <c r="S543" s="2812"/>
      <c r="T543" s="2812"/>
      <c r="U543" s="2848">
        <f>U544+U547</f>
        <v>0</v>
      </c>
    </row>
    <row r="544" spans="1:21" ht="21" hidden="1" x14ac:dyDescent="0.25">
      <c r="A544" s="1179"/>
      <c r="B544" s="753" t="s">
        <v>484</v>
      </c>
      <c r="C544" s="1180"/>
      <c r="D544" s="409" t="s">
        <v>464</v>
      </c>
      <c r="E544" s="409" t="s">
        <v>463</v>
      </c>
      <c r="F544" s="409" t="s">
        <v>483</v>
      </c>
      <c r="G544" s="1661"/>
      <c r="H544" s="2848">
        <f t="shared" ref="H544:J545" si="147">H545</f>
        <v>0</v>
      </c>
      <c r="I544" s="2849">
        <f t="shared" si="147"/>
        <v>0</v>
      </c>
      <c r="J544" s="2865">
        <f t="shared" si="147"/>
        <v>0</v>
      </c>
      <c r="K544" s="2812"/>
      <c r="L544" s="2812"/>
      <c r="M544" s="2812"/>
      <c r="N544" s="2851">
        <f t="shared" ref="N544:N545" si="148">N545</f>
        <v>0</v>
      </c>
      <c r="O544" s="2812"/>
      <c r="P544" s="2812"/>
      <c r="Q544" s="2812"/>
      <c r="R544" s="2812"/>
      <c r="S544" s="2812"/>
      <c r="T544" s="2812"/>
      <c r="U544" s="2848">
        <f t="shared" ref="U544:U545" si="149">U545</f>
        <v>0</v>
      </c>
    </row>
    <row r="545" spans="1:21" ht="21" hidden="1" x14ac:dyDescent="0.25">
      <c r="A545" s="1179"/>
      <c r="B545" s="753" t="s">
        <v>482</v>
      </c>
      <c r="C545" s="1180"/>
      <c r="D545" s="409" t="s">
        <v>464</v>
      </c>
      <c r="E545" s="409" t="s">
        <v>463</v>
      </c>
      <c r="F545" s="409" t="s">
        <v>480</v>
      </c>
      <c r="G545" s="1662"/>
      <c r="H545" s="2848">
        <f t="shared" si="147"/>
        <v>0</v>
      </c>
      <c r="I545" s="2849">
        <f t="shared" si="147"/>
        <v>0</v>
      </c>
      <c r="J545" s="2865">
        <f t="shared" si="147"/>
        <v>0</v>
      </c>
      <c r="K545" s="2812"/>
      <c r="L545" s="2812"/>
      <c r="M545" s="2812"/>
      <c r="N545" s="2851">
        <f t="shared" si="148"/>
        <v>0</v>
      </c>
      <c r="O545" s="2812"/>
      <c r="P545" s="2812"/>
      <c r="Q545" s="2812"/>
      <c r="R545" s="2812"/>
      <c r="S545" s="2812"/>
      <c r="T545" s="2812"/>
      <c r="U545" s="2848">
        <f t="shared" si="149"/>
        <v>0</v>
      </c>
    </row>
    <row r="546" spans="1:21" hidden="1" x14ac:dyDescent="0.25">
      <c r="A546" s="1179"/>
      <c r="B546" s="1182" t="s">
        <v>481</v>
      </c>
      <c r="C546" s="1183"/>
      <c r="D546" s="409" t="s">
        <v>464</v>
      </c>
      <c r="E546" s="409" t="s">
        <v>463</v>
      </c>
      <c r="F546" s="409" t="s">
        <v>480</v>
      </c>
      <c r="G546" s="1662" t="s">
        <v>26</v>
      </c>
      <c r="H546" s="2848">
        <v>0</v>
      </c>
      <c r="I546" s="2849">
        <v>0</v>
      </c>
      <c r="J546" s="2865">
        <v>0</v>
      </c>
      <c r="K546" s="2812"/>
      <c r="L546" s="2812"/>
      <c r="M546" s="2812"/>
      <c r="N546" s="2851">
        <v>0</v>
      </c>
      <c r="O546" s="2812"/>
      <c r="P546" s="2812"/>
      <c r="Q546" s="2812"/>
      <c r="R546" s="2812"/>
      <c r="S546" s="2812"/>
      <c r="T546" s="2812"/>
      <c r="U546" s="2848">
        <v>0</v>
      </c>
    </row>
    <row r="547" spans="1:21" hidden="1" x14ac:dyDescent="0.25">
      <c r="A547" s="1179"/>
      <c r="B547" s="753" t="s">
        <v>479</v>
      </c>
      <c r="C547" s="1180"/>
      <c r="D547" s="409" t="s">
        <v>464</v>
      </c>
      <c r="E547" s="409" t="s">
        <v>463</v>
      </c>
      <c r="F547" s="409" t="s">
        <v>478</v>
      </c>
      <c r="G547" s="1661"/>
      <c r="H547" s="2848">
        <f>H548+H550</f>
        <v>0</v>
      </c>
      <c r="I547" s="2849">
        <f>I548+I550</f>
        <v>0</v>
      </c>
      <c r="J547" s="2865">
        <f>J548+J550</f>
        <v>0</v>
      </c>
      <c r="K547" s="2812"/>
      <c r="L547" s="2812"/>
      <c r="M547" s="2812"/>
      <c r="N547" s="2851">
        <f>N548+N550</f>
        <v>0</v>
      </c>
      <c r="O547" s="2812"/>
      <c r="P547" s="2812"/>
      <c r="Q547" s="2812"/>
      <c r="R547" s="2812"/>
      <c r="S547" s="2812"/>
      <c r="T547" s="2812"/>
      <c r="U547" s="2848">
        <f>U548+U550</f>
        <v>0</v>
      </c>
    </row>
    <row r="548" spans="1:21" hidden="1" x14ac:dyDescent="0.25">
      <c r="A548" s="1179"/>
      <c r="B548" s="753" t="s">
        <v>477</v>
      </c>
      <c r="C548" s="1180"/>
      <c r="D548" s="409" t="s">
        <v>464</v>
      </c>
      <c r="E548" s="409" t="s">
        <v>463</v>
      </c>
      <c r="F548" s="409" t="s">
        <v>476</v>
      </c>
      <c r="G548" s="1662"/>
      <c r="H548" s="2848">
        <f>H549</f>
        <v>0</v>
      </c>
      <c r="I548" s="2849">
        <f>I549</f>
        <v>0</v>
      </c>
      <c r="J548" s="2865">
        <f>J549</f>
        <v>0</v>
      </c>
      <c r="K548" s="2812"/>
      <c r="L548" s="2812"/>
      <c r="M548" s="2812"/>
      <c r="N548" s="2851">
        <f>N549</f>
        <v>0</v>
      </c>
      <c r="O548" s="2812"/>
      <c r="P548" s="2812"/>
      <c r="Q548" s="2812"/>
      <c r="R548" s="2812"/>
      <c r="S548" s="2812"/>
      <c r="T548" s="2812"/>
      <c r="U548" s="2848">
        <f>U549</f>
        <v>0</v>
      </c>
    </row>
    <row r="549" spans="1:21" ht="21" hidden="1" x14ac:dyDescent="0.25">
      <c r="A549" s="1179"/>
      <c r="B549" s="1182" t="s">
        <v>454</v>
      </c>
      <c r="C549" s="1183"/>
      <c r="D549" s="409" t="s">
        <v>464</v>
      </c>
      <c r="E549" s="409" t="s">
        <v>463</v>
      </c>
      <c r="F549" s="409" t="s">
        <v>476</v>
      </c>
      <c r="G549" s="1662" t="s">
        <v>1</v>
      </c>
      <c r="H549" s="2848"/>
      <c r="I549" s="2849"/>
      <c r="J549" s="2865"/>
      <c r="K549" s="2812"/>
      <c r="L549" s="2812"/>
      <c r="M549" s="2812"/>
      <c r="N549" s="2851"/>
      <c r="O549" s="2812"/>
      <c r="P549" s="2812"/>
      <c r="Q549" s="2812"/>
      <c r="R549" s="2812"/>
      <c r="S549" s="2812"/>
      <c r="T549" s="2812"/>
      <c r="U549" s="2848"/>
    </row>
    <row r="550" spans="1:21" hidden="1" x14ac:dyDescent="0.25">
      <c r="A550" s="1179"/>
      <c r="B550" s="753" t="s">
        <v>475</v>
      </c>
      <c r="C550" s="1180"/>
      <c r="D550" s="409" t="s">
        <v>464</v>
      </c>
      <c r="E550" s="409" t="s">
        <v>463</v>
      </c>
      <c r="F550" s="409" t="s">
        <v>474</v>
      </c>
      <c r="G550" s="1662"/>
      <c r="H550" s="2848">
        <f>H551</f>
        <v>0</v>
      </c>
      <c r="I550" s="2849">
        <f>I551</f>
        <v>0</v>
      </c>
      <c r="J550" s="2865">
        <f>J551</f>
        <v>0</v>
      </c>
      <c r="K550" s="2812"/>
      <c r="L550" s="2812"/>
      <c r="M550" s="2812"/>
      <c r="N550" s="2851">
        <f>N551</f>
        <v>0</v>
      </c>
      <c r="O550" s="2812"/>
      <c r="P550" s="2812"/>
      <c r="Q550" s="2812"/>
      <c r="R550" s="2812"/>
      <c r="S550" s="2812"/>
      <c r="T550" s="2812"/>
      <c r="U550" s="2848">
        <f>U551</f>
        <v>0</v>
      </c>
    </row>
    <row r="551" spans="1:21" ht="21" hidden="1" x14ac:dyDescent="0.25">
      <c r="A551" s="1179"/>
      <c r="B551" s="1182" t="s">
        <v>454</v>
      </c>
      <c r="C551" s="1183"/>
      <c r="D551" s="409" t="s">
        <v>464</v>
      </c>
      <c r="E551" s="409" t="s">
        <v>463</v>
      </c>
      <c r="F551" s="409" t="s">
        <v>474</v>
      </c>
      <c r="G551" s="1662" t="s">
        <v>1</v>
      </c>
      <c r="H551" s="2848">
        <v>0</v>
      </c>
      <c r="I551" s="2849">
        <v>0</v>
      </c>
      <c r="J551" s="2865">
        <v>0</v>
      </c>
      <c r="K551" s="2812"/>
      <c r="L551" s="2812"/>
      <c r="M551" s="2812"/>
      <c r="N551" s="2851">
        <v>0</v>
      </c>
      <c r="O551" s="2812"/>
      <c r="P551" s="2812"/>
      <c r="Q551" s="2812"/>
      <c r="R551" s="2812"/>
      <c r="S551" s="2812"/>
      <c r="T551" s="2812"/>
      <c r="U551" s="2848">
        <v>0</v>
      </c>
    </row>
    <row r="552" spans="1:21" ht="30" customHeight="1" x14ac:dyDescent="0.25">
      <c r="A552" s="1179"/>
      <c r="B552" s="157" t="s">
        <v>1263</v>
      </c>
      <c r="C552" s="1180"/>
      <c r="D552" s="409" t="s">
        <v>464</v>
      </c>
      <c r="E552" s="409" t="s">
        <v>463</v>
      </c>
      <c r="F552" s="409" t="s">
        <v>1262</v>
      </c>
      <c r="G552" s="1662"/>
      <c r="H552" s="2848">
        <f>H553+H560</f>
        <v>250</v>
      </c>
      <c r="I552" s="2849">
        <f>I553+I566</f>
        <v>0</v>
      </c>
      <c r="J552" s="2865">
        <f>J553+J566</f>
        <v>0</v>
      </c>
      <c r="K552" s="2812"/>
      <c r="L552" s="2812"/>
      <c r="M552" s="2812"/>
      <c r="N552" s="2851">
        <f>N553+N560</f>
        <v>750</v>
      </c>
      <c r="O552" s="2812"/>
      <c r="P552" s="2812"/>
      <c r="Q552" s="2812"/>
      <c r="R552" s="2812"/>
      <c r="S552" s="2812"/>
      <c r="T552" s="2812"/>
      <c r="U552" s="2848">
        <f>U553+U560</f>
        <v>750</v>
      </c>
    </row>
    <row r="553" spans="1:21" ht="26" x14ac:dyDescent="0.25">
      <c r="A553" s="1179"/>
      <c r="B553" s="1092" t="s">
        <v>1264</v>
      </c>
      <c r="C553" s="1180"/>
      <c r="D553" s="409" t="s">
        <v>464</v>
      </c>
      <c r="E553" s="409" t="s">
        <v>463</v>
      </c>
      <c r="F553" s="409" t="s">
        <v>1261</v>
      </c>
      <c r="G553" s="1662"/>
      <c r="H553" s="2848">
        <f t="shared" ref="H553:J553" si="150">H554</f>
        <v>250</v>
      </c>
      <c r="I553" s="2849">
        <f t="shared" si="150"/>
        <v>0</v>
      </c>
      <c r="J553" s="2865">
        <f t="shared" si="150"/>
        <v>0</v>
      </c>
      <c r="K553" s="2812"/>
      <c r="L553" s="2812"/>
      <c r="M553" s="2812"/>
      <c r="N553" s="2851">
        <f t="shared" ref="N553" si="151">N554</f>
        <v>750</v>
      </c>
      <c r="O553" s="2812"/>
      <c r="P553" s="2812"/>
      <c r="Q553" s="2812"/>
      <c r="R553" s="2812"/>
      <c r="S553" s="2812"/>
      <c r="T553" s="2812"/>
      <c r="U553" s="2848">
        <f t="shared" ref="U553" si="152">U554</f>
        <v>750</v>
      </c>
    </row>
    <row r="554" spans="1:21" ht="21" customHeight="1" x14ac:dyDescent="0.25">
      <c r="A554" s="1233"/>
      <c r="B554" s="1205" t="s">
        <v>1256</v>
      </c>
      <c r="C554" s="1180"/>
      <c r="D554" s="409" t="s">
        <v>464</v>
      </c>
      <c r="E554" s="409" t="s">
        <v>463</v>
      </c>
      <c r="F554" s="409" t="s">
        <v>1259</v>
      </c>
      <c r="G554" s="1662"/>
      <c r="H554" s="2848">
        <f>H556</f>
        <v>250</v>
      </c>
      <c r="I554" s="2849">
        <f>I556</f>
        <v>0</v>
      </c>
      <c r="J554" s="2865">
        <f>J556</f>
        <v>0</v>
      </c>
      <c r="K554" s="2812"/>
      <c r="L554" s="2812"/>
      <c r="M554" s="2812"/>
      <c r="N554" s="2851">
        <f>N556</f>
        <v>750</v>
      </c>
      <c r="O554" s="2812"/>
      <c r="P554" s="2812"/>
      <c r="Q554" s="2812"/>
      <c r="R554" s="2812"/>
      <c r="S554" s="2812"/>
      <c r="T554" s="2812"/>
      <c r="U554" s="2848">
        <f>U556</f>
        <v>750</v>
      </c>
    </row>
    <row r="555" spans="1:21" x14ac:dyDescent="0.25">
      <c r="A555" s="1233"/>
      <c r="B555" s="753" t="s">
        <v>948</v>
      </c>
      <c r="C555" s="1180"/>
      <c r="D555" s="409" t="s">
        <v>464</v>
      </c>
      <c r="E555" s="409" t="s">
        <v>463</v>
      </c>
      <c r="F555" s="409" t="s">
        <v>1259</v>
      </c>
      <c r="G555" s="1662" t="s">
        <v>955</v>
      </c>
      <c r="H555" s="2848">
        <f t="shared" ref="H555:U555" si="153">H556</f>
        <v>250</v>
      </c>
      <c r="I555" s="2849">
        <f t="shared" si="153"/>
        <v>0</v>
      </c>
      <c r="J555" s="2866">
        <f t="shared" si="153"/>
        <v>0</v>
      </c>
      <c r="K555" s="2812">
        <f t="shared" si="153"/>
        <v>0</v>
      </c>
      <c r="L555" s="2812">
        <f t="shared" si="153"/>
        <v>0</v>
      </c>
      <c r="M555" s="2812">
        <f t="shared" si="153"/>
        <v>0</v>
      </c>
      <c r="N555" s="2851">
        <f t="shared" si="153"/>
        <v>750</v>
      </c>
      <c r="O555" s="2812">
        <f t="shared" si="153"/>
        <v>0</v>
      </c>
      <c r="P555" s="2812">
        <f t="shared" si="153"/>
        <v>0</v>
      </c>
      <c r="Q555" s="2812">
        <f t="shared" si="153"/>
        <v>0</v>
      </c>
      <c r="R555" s="2812">
        <f t="shared" si="153"/>
        <v>0</v>
      </c>
      <c r="S555" s="2812">
        <f t="shared" si="153"/>
        <v>0</v>
      </c>
      <c r="T555" s="2812">
        <f t="shared" si="153"/>
        <v>0</v>
      </c>
      <c r="U555" s="2848">
        <f t="shared" si="153"/>
        <v>750</v>
      </c>
    </row>
    <row r="556" spans="1:21" ht="21" x14ac:dyDescent="0.25">
      <c r="A556" s="1233"/>
      <c r="B556" s="1182" t="s">
        <v>454</v>
      </c>
      <c r="C556" s="1183"/>
      <c r="D556" s="409" t="s">
        <v>464</v>
      </c>
      <c r="E556" s="409" t="s">
        <v>463</v>
      </c>
      <c r="F556" s="409" t="s">
        <v>1259</v>
      </c>
      <c r="G556" s="1662" t="s">
        <v>1</v>
      </c>
      <c r="H556" s="2848">
        <v>250</v>
      </c>
      <c r="I556" s="2849"/>
      <c r="J556" s="2850"/>
      <c r="K556" s="2812"/>
      <c r="L556" s="2812"/>
      <c r="M556" s="2812"/>
      <c r="N556" s="2851">
        <v>750</v>
      </c>
      <c r="O556" s="2812"/>
      <c r="P556" s="2812"/>
      <c r="Q556" s="2812"/>
      <c r="R556" s="2812"/>
      <c r="S556" s="2812"/>
      <c r="T556" s="2812"/>
      <c r="U556" s="2848">
        <v>750</v>
      </c>
    </row>
    <row r="557" spans="1:21" ht="21" hidden="1" x14ac:dyDescent="0.25">
      <c r="A557" s="1233"/>
      <c r="B557" s="1393" t="s">
        <v>1057</v>
      </c>
      <c r="C557" s="1183"/>
      <c r="D557" s="409" t="s">
        <v>464</v>
      </c>
      <c r="E557" s="409" t="s">
        <v>463</v>
      </c>
      <c r="F557" s="409" t="s">
        <v>472</v>
      </c>
      <c r="G557" s="1662"/>
      <c r="H557" s="2848">
        <f>H558</f>
        <v>0</v>
      </c>
      <c r="I557" s="2849"/>
      <c r="J557" s="2850"/>
      <c r="K557" s="2812"/>
      <c r="L557" s="2812"/>
      <c r="M557" s="2812"/>
      <c r="N557" s="2851">
        <f>N558</f>
        <v>0</v>
      </c>
      <c r="O557" s="2812"/>
      <c r="P557" s="2812"/>
      <c r="Q557" s="2812"/>
      <c r="R557" s="2812"/>
      <c r="S557" s="2812"/>
      <c r="T557" s="2812"/>
      <c r="U557" s="2848">
        <f>U558</f>
        <v>0</v>
      </c>
    </row>
    <row r="558" spans="1:21" hidden="1" x14ac:dyDescent="0.25">
      <c r="A558" s="1233"/>
      <c r="B558" s="1393" t="s">
        <v>1058</v>
      </c>
      <c r="C558" s="1183"/>
      <c r="D558" s="409" t="s">
        <v>464</v>
      </c>
      <c r="E558" s="409" t="s">
        <v>463</v>
      </c>
      <c r="F558" s="409" t="s">
        <v>1056</v>
      </c>
      <c r="G558" s="1662"/>
      <c r="H558" s="2848">
        <f>H560</f>
        <v>0</v>
      </c>
      <c r="I558" s="2849"/>
      <c r="J558" s="2850"/>
      <c r="K558" s="2812"/>
      <c r="L558" s="2812"/>
      <c r="M558" s="2812"/>
      <c r="N558" s="2851">
        <f>N560</f>
        <v>0</v>
      </c>
      <c r="O558" s="2812"/>
      <c r="P558" s="2812"/>
      <c r="Q558" s="2812"/>
      <c r="R558" s="2812"/>
      <c r="S558" s="2812"/>
      <c r="T558" s="2812"/>
      <c r="U558" s="2848">
        <f>U560</f>
        <v>0</v>
      </c>
    </row>
    <row r="559" spans="1:21" hidden="1" x14ac:dyDescent="0.25">
      <c r="A559" s="1233"/>
      <c r="B559" s="1393" t="s">
        <v>1061</v>
      </c>
      <c r="C559" s="1183"/>
      <c r="D559" s="409" t="s">
        <v>464</v>
      </c>
      <c r="E559" s="409" t="s">
        <v>463</v>
      </c>
      <c r="F559" s="409" t="s">
        <v>1056</v>
      </c>
      <c r="G559" s="1662" t="s">
        <v>1060</v>
      </c>
      <c r="H559" s="2848">
        <f t="shared" ref="H559:U559" si="154">H560</f>
        <v>0</v>
      </c>
      <c r="I559" s="2849">
        <f t="shared" si="154"/>
        <v>0</v>
      </c>
      <c r="J559" s="2850">
        <f t="shared" si="154"/>
        <v>0</v>
      </c>
      <c r="K559" s="2812">
        <f t="shared" si="154"/>
        <v>0</v>
      </c>
      <c r="L559" s="2812">
        <f t="shared" si="154"/>
        <v>0</v>
      </c>
      <c r="M559" s="2812">
        <f t="shared" si="154"/>
        <v>0</v>
      </c>
      <c r="N559" s="2851">
        <f t="shared" si="154"/>
        <v>0</v>
      </c>
      <c r="O559" s="2812">
        <f t="shared" si="154"/>
        <v>0</v>
      </c>
      <c r="P559" s="2812">
        <f t="shared" si="154"/>
        <v>0</v>
      </c>
      <c r="Q559" s="2812">
        <f t="shared" si="154"/>
        <v>0</v>
      </c>
      <c r="R559" s="2812">
        <f t="shared" si="154"/>
        <v>0</v>
      </c>
      <c r="S559" s="2812">
        <f t="shared" si="154"/>
        <v>0</v>
      </c>
      <c r="T559" s="2812">
        <f t="shared" si="154"/>
        <v>0</v>
      </c>
      <c r="U559" s="2848">
        <f t="shared" si="154"/>
        <v>0</v>
      </c>
    </row>
    <row r="560" spans="1:21" hidden="1" x14ac:dyDescent="0.25">
      <c r="A560" s="1233"/>
      <c r="B560" s="1408" t="s">
        <v>28</v>
      </c>
      <c r="C560" s="1183"/>
      <c r="D560" s="409" t="s">
        <v>464</v>
      </c>
      <c r="E560" s="409" t="s">
        <v>463</v>
      </c>
      <c r="F560" s="409" t="s">
        <v>1056</v>
      </c>
      <c r="G560" s="1662" t="s">
        <v>26</v>
      </c>
      <c r="H560" s="2848">
        <f>1000-295-705</f>
        <v>0</v>
      </c>
      <c r="I560" s="2849"/>
      <c r="J560" s="2850"/>
      <c r="K560" s="2812"/>
      <c r="L560" s="2812"/>
      <c r="M560" s="2812"/>
      <c r="N560" s="2851">
        <f>1000-307-693</f>
        <v>0</v>
      </c>
      <c r="O560" s="2812"/>
      <c r="P560" s="2812"/>
      <c r="Q560" s="2812"/>
      <c r="R560" s="2812"/>
      <c r="S560" s="2812"/>
      <c r="T560" s="2812"/>
      <c r="U560" s="2848">
        <f>1000-320-680</f>
        <v>0</v>
      </c>
    </row>
    <row r="561" spans="1:21" hidden="1" x14ac:dyDescent="0.25">
      <c r="A561" s="1233"/>
      <c r="B561" s="1393" t="s">
        <v>64</v>
      </c>
      <c r="C561" s="1183"/>
      <c r="D561" s="409" t="s">
        <v>464</v>
      </c>
      <c r="E561" s="409" t="s">
        <v>463</v>
      </c>
      <c r="F561" s="409" t="s">
        <v>1056</v>
      </c>
      <c r="G561" s="1662"/>
      <c r="H561" s="2848"/>
      <c r="I561" s="2849"/>
      <c r="J561" s="2850"/>
      <c r="K561" s="2812"/>
      <c r="L561" s="2812"/>
      <c r="M561" s="2812"/>
      <c r="N561" s="2851"/>
      <c r="O561" s="2812"/>
      <c r="P561" s="2812"/>
      <c r="Q561" s="2812"/>
      <c r="R561" s="2812"/>
      <c r="S561" s="2812"/>
      <c r="T561" s="2812"/>
      <c r="U561" s="2848"/>
    </row>
    <row r="562" spans="1:21" x14ac:dyDescent="0.25">
      <c r="A562" s="1233"/>
      <c r="B562" s="1255" t="s">
        <v>934</v>
      </c>
      <c r="C562" s="1183"/>
      <c r="D562" s="408" t="s">
        <v>534</v>
      </c>
      <c r="E562" s="409" t="s">
        <v>459</v>
      </c>
      <c r="F562" s="409"/>
      <c r="G562" s="1662"/>
      <c r="H562" s="2852">
        <f>H563</f>
        <v>900</v>
      </c>
      <c r="I562" s="2849"/>
      <c r="J562" s="2850"/>
      <c r="K562" s="2822">
        <v>1200</v>
      </c>
      <c r="L562" s="2812"/>
      <c r="M562" s="2812"/>
      <c r="N562" s="2856">
        <f>N563</f>
        <v>962.99999999999977</v>
      </c>
      <c r="O562" s="2812"/>
      <c r="P562" s="2812"/>
      <c r="Q562" s="2812"/>
      <c r="R562" s="2812"/>
      <c r="S562" s="2812"/>
      <c r="T562" s="2812"/>
      <c r="U562" s="2852">
        <f>U563</f>
        <v>963</v>
      </c>
    </row>
    <row r="563" spans="1:21" ht="12" customHeight="1" x14ac:dyDescent="0.25">
      <c r="A563" s="1233"/>
      <c r="B563" s="752" t="s">
        <v>920</v>
      </c>
      <c r="C563" s="1183"/>
      <c r="D563" s="408" t="s">
        <v>534</v>
      </c>
      <c r="E563" s="408" t="s">
        <v>488</v>
      </c>
      <c r="F563" s="408"/>
      <c r="G563" s="1662"/>
      <c r="H563" s="2852">
        <f>H565</f>
        <v>900</v>
      </c>
      <c r="I563" s="2849"/>
      <c r="J563" s="2850"/>
      <c r="K563" s="2812"/>
      <c r="L563" s="2812"/>
      <c r="M563" s="2812"/>
      <c r="N563" s="2856">
        <f>N565</f>
        <v>962.99999999999977</v>
      </c>
      <c r="O563" s="2812"/>
      <c r="P563" s="2812"/>
      <c r="Q563" s="2812"/>
      <c r="R563" s="2812"/>
      <c r="S563" s="2812"/>
      <c r="T563" s="2812"/>
      <c r="U563" s="2852">
        <f>U565</f>
        <v>963</v>
      </c>
    </row>
    <row r="564" spans="1:21" ht="21" hidden="1" x14ac:dyDescent="0.25">
      <c r="A564" s="1233"/>
      <c r="B564" s="753" t="s">
        <v>499</v>
      </c>
      <c r="C564" s="1183"/>
      <c r="D564" s="409" t="s">
        <v>534</v>
      </c>
      <c r="E564" s="409" t="s">
        <v>488</v>
      </c>
      <c r="F564" s="409" t="s">
        <v>89</v>
      </c>
      <c r="G564" s="1662"/>
      <c r="H564" s="2852"/>
      <c r="I564" s="2849"/>
      <c r="J564" s="2850"/>
      <c r="K564" s="2812"/>
      <c r="L564" s="2812"/>
      <c r="M564" s="2812"/>
      <c r="N564" s="2856"/>
      <c r="O564" s="2812"/>
      <c r="P564" s="2812"/>
      <c r="Q564" s="2812"/>
      <c r="R564" s="2812"/>
      <c r="S564" s="2812"/>
      <c r="T564" s="2812"/>
      <c r="U564" s="2852"/>
    </row>
    <row r="565" spans="1:21" x14ac:dyDescent="0.25">
      <c r="A565" s="305"/>
      <c r="B565" s="753" t="s">
        <v>109</v>
      </c>
      <c r="C565" s="1183"/>
      <c r="D565" s="409" t="s">
        <v>534</v>
      </c>
      <c r="E565" s="409" t="s">
        <v>488</v>
      </c>
      <c r="F565" s="409" t="s">
        <v>84</v>
      </c>
      <c r="G565" s="1662"/>
      <c r="H565" s="2848">
        <f>H566</f>
        <v>900</v>
      </c>
      <c r="I565" s="2849"/>
      <c r="J565" s="2850"/>
      <c r="K565" s="2812"/>
      <c r="L565" s="2812"/>
      <c r="M565" s="2812"/>
      <c r="N565" s="2851">
        <f>N566</f>
        <v>962.99999999999977</v>
      </c>
      <c r="O565" s="2812"/>
      <c r="P565" s="2812"/>
      <c r="Q565" s="2812"/>
      <c r="R565" s="2812"/>
      <c r="S565" s="2812"/>
      <c r="T565" s="2812"/>
      <c r="U565" s="2848">
        <f>U566</f>
        <v>963</v>
      </c>
    </row>
    <row r="566" spans="1:21" x14ac:dyDescent="0.25">
      <c r="A566" s="273"/>
      <c r="B566" s="753" t="s">
        <v>109</v>
      </c>
      <c r="C566" s="1180"/>
      <c r="D566" s="409" t="s">
        <v>534</v>
      </c>
      <c r="E566" s="409" t="s">
        <v>488</v>
      </c>
      <c r="F566" s="409" t="s">
        <v>82</v>
      </c>
      <c r="G566" s="1662"/>
      <c r="H566" s="2848">
        <f>H567</f>
        <v>900</v>
      </c>
      <c r="I566" s="2849">
        <f>I567</f>
        <v>0</v>
      </c>
      <c r="J566" s="2850">
        <f>J567</f>
        <v>0</v>
      </c>
      <c r="K566" s="2812"/>
      <c r="L566" s="2812"/>
      <c r="M566" s="2812"/>
      <c r="N566" s="2851">
        <f>N567</f>
        <v>962.99999999999977</v>
      </c>
      <c r="O566" s="2812"/>
      <c r="P566" s="2812"/>
      <c r="Q566" s="2812"/>
      <c r="R566" s="2812"/>
      <c r="S566" s="2812"/>
      <c r="T566" s="2812"/>
      <c r="U566" s="2848">
        <f>U567</f>
        <v>963</v>
      </c>
    </row>
    <row r="567" spans="1:21" ht="21" x14ac:dyDescent="0.25">
      <c r="A567" s="305"/>
      <c r="B567" s="1205" t="s">
        <v>918</v>
      </c>
      <c r="C567" s="1180"/>
      <c r="D567" s="409" t="s">
        <v>534</v>
      </c>
      <c r="E567" s="409" t="s">
        <v>488</v>
      </c>
      <c r="F567" s="409" t="s">
        <v>919</v>
      </c>
      <c r="G567" s="1662"/>
      <c r="H567" s="2848">
        <f>H569</f>
        <v>900</v>
      </c>
      <c r="I567" s="2849">
        <f>I569</f>
        <v>0</v>
      </c>
      <c r="J567" s="2850">
        <f>J569</f>
        <v>0</v>
      </c>
      <c r="K567" s="2812"/>
      <c r="L567" s="2812"/>
      <c r="M567" s="2812"/>
      <c r="N567" s="2851">
        <f>N569</f>
        <v>962.99999999999977</v>
      </c>
      <c r="O567" s="2812"/>
      <c r="P567" s="2812"/>
      <c r="Q567" s="2812"/>
      <c r="R567" s="2812"/>
      <c r="S567" s="2812"/>
      <c r="T567" s="2812"/>
      <c r="U567" s="2848">
        <f>U569</f>
        <v>963</v>
      </c>
    </row>
    <row r="568" spans="1:21" x14ac:dyDescent="0.25">
      <c r="A568" s="304"/>
      <c r="B568" s="1256" t="s">
        <v>921</v>
      </c>
      <c r="C568" s="1257"/>
      <c r="D568" s="409" t="s">
        <v>534</v>
      </c>
      <c r="E568" s="409" t="s">
        <v>488</v>
      </c>
      <c r="F568" s="409" t="s">
        <v>919</v>
      </c>
      <c r="G568" s="1663" t="s">
        <v>955</v>
      </c>
      <c r="H568" s="2887">
        <f>H569</f>
        <v>900</v>
      </c>
      <c r="I568" s="2849"/>
      <c r="J568" s="2850"/>
      <c r="K568" s="2812"/>
      <c r="L568" s="2812"/>
      <c r="M568" s="2812"/>
      <c r="N568" s="2888">
        <f>N569</f>
        <v>962.99999999999977</v>
      </c>
      <c r="O568" s="2812"/>
      <c r="P568" s="2812"/>
      <c r="Q568" s="2812"/>
      <c r="R568" s="2812"/>
      <c r="S568" s="2812"/>
      <c r="T568" s="2812"/>
      <c r="U568" s="2887">
        <f>U569</f>
        <v>963</v>
      </c>
    </row>
    <row r="569" spans="1:21" ht="21.5" thickBot="1" x14ac:dyDescent="0.3">
      <c r="A569" s="778"/>
      <c r="B569" s="1259" t="s">
        <v>454</v>
      </c>
      <c r="C569" s="1260"/>
      <c r="D569" s="2169" t="s">
        <v>534</v>
      </c>
      <c r="E569" s="2169" t="s">
        <v>488</v>
      </c>
      <c r="F569" s="2169" t="s">
        <v>919</v>
      </c>
      <c r="G569" s="1672" t="s">
        <v>1</v>
      </c>
      <c r="H569" s="2889">
        <v>900</v>
      </c>
      <c r="I569" s="2849"/>
      <c r="J569" s="2850"/>
      <c r="K569" s="2812"/>
      <c r="L569" s="2812"/>
      <c r="M569" s="2812"/>
      <c r="N569" s="2890">
        <f>963+1151.093-1151.093</f>
        <v>962.99999999999977</v>
      </c>
      <c r="O569" s="2812"/>
      <c r="P569" s="2812"/>
      <c r="Q569" s="2812"/>
      <c r="R569" s="2812"/>
      <c r="S569" s="2812"/>
      <c r="T569" s="2812"/>
      <c r="U569" s="2889">
        <v>963</v>
      </c>
    </row>
    <row r="570" spans="1:21" ht="34.5" hidden="1" customHeight="1" x14ac:dyDescent="0.25">
      <c r="A570" s="291"/>
      <c r="B570" s="290" t="s">
        <v>469</v>
      </c>
      <c r="C570" s="289"/>
      <c r="D570" s="288" t="s">
        <v>464</v>
      </c>
      <c r="E570" s="288" t="s">
        <v>463</v>
      </c>
      <c r="F570" s="288" t="s">
        <v>468</v>
      </c>
      <c r="G570" s="2173"/>
      <c r="H570" s="2891">
        <f t="shared" ref="H570:J572" si="155">H571</f>
        <v>0</v>
      </c>
      <c r="I570" s="2853">
        <f t="shared" si="155"/>
        <v>0</v>
      </c>
      <c r="J570" s="2854">
        <f t="shared" si="155"/>
        <v>0</v>
      </c>
      <c r="K570" s="2812"/>
      <c r="L570" s="2812"/>
      <c r="M570" s="2812"/>
      <c r="N570" s="2892">
        <f t="shared" ref="N570:N572" si="156">N571</f>
        <v>0</v>
      </c>
      <c r="O570" s="2812"/>
      <c r="P570" s="2812"/>
      <c r="Q570" s="2812"/>
      <c r="R570" s="2812"/>
      <c r="S570" s="2812"/>
      <c r="T570" s="2812"/>
      <c r="U570" s="2891">
        <f t="shared" ref="U570:U572" si="157">U571</f>
        <v>0</v>
      </c>
    </row>
    <row r="571" spans="1:21" hidden="1" x14ac:dyDescent="0.25">
      <c r="A571" s="273"/>
      <c r="B571" s="285" t="s">
        <v>467</v>
      </c>
      <c r="C571" s="272"/>
      <c r="D571" s="271" t="s">
        <v>464</v>
      </c>
      <c r="E571" s="271" t="s">
        <v>463</v>
      </c>
      <c r="F571" s="271" t="s">
        <v>466</v>
      </c>
      <c r="G571" s="2174"/>
      <c r="H571" s="2893">
        <f t="shared" si="155"/>
        <v>0</v>
      </c>
      <c r="I571" s="2849">
        <f t="shared" si="155"/>
        <v>0</v>
      </c>
      <c r="J571" s="2850">
        <f t="shared" si="155"/>
        <v>0</v>
      </c>
      <c r="K571" s="2812"/>
      <c r="L571" s="2812"/>
      <c r="M571" s="2812"/>
      <c r="N571" s="2894">
        <f t="shared" si="156"/>
        <v>0</v>
      </c>
      <c r="O571" s="2812"/>
      <c r="P571" s="2812"/>
      <c r="Q571" s="2812"/>
      <c r="R571" s="2812"/>
      <c r="S571" s="2812"/>
      <c r="T571" s="2812"/>
      <c r="U571" s="2893">
        <f t="shared" si="157"/>
        <v>0</v>
      </c>
    </row>
    <row r="572" spans="1:21" hidden="1" x14ac:dyDescent="0.25">
      <c r="A572" s="305"/>
      <c r="B572" s="285" t="s">
        <v>465</v>
      </c>
      <c r="C572" s="272"/>
      <c r="D572" s="271" t="s">
        <v>464</v>
      </c>
      <c r="E572" s="271" t="s">
        <v>463</v>
      </c>
      <c r="F572" s="271" t="s">
        <v>462</v>
      </c>
      <c r="G572" s="2174"/>
      <c r="H572" s="2893">
        <f t="shared" si="155"/>
        <v>0</v>
      </c>
      <c r="I572" s="2849">
        <f t="shared" si="155"/>
        <v>0</v>
      </c>
      <c r="J572" s="2850">
        <f t="shared" si="155"/>
        <v>0</v>
      </c>
      <c r="K572" s="2812"/>
      <c r="L572" s="2812"/>
      <c r="M572" s="2812"/>
      <c r="N572" s="2894">
        <f t="shared" si="156"/>
        <v>0</v>
      </c>
      <c r="O572" s="2812"/>
      <c r="P572" s="2812"/>
      <c r="Q572" s="2812"/>
      <c r="R572" s="2812"/>
      <c r="S572" s="2812"/>
      <c r="T572" s="2812"/>
      <c r="U572" s="2893">
        <f t="shared" si="157"/>
        <v>0</v>
      </c>
    </row>
    <row r="573" spans="1:21" ht="20" hidden="1" x14ac:dyDescent="0.25">
      <c r="A573" s="304"/>
      <c r="B573" s="303" t="s">
        <v>454</v>
      </c>
      <c r="C573" s="302"/>
      <c r="D573" s="301" t="s">
        <v>464</v>
      </c>
      <c r="E573" s="301" t="s">
        <v>463</v>
      </c>
      <c r="F573" s="301" t="s">
        <v>462</v>
      </c>
      <c r="G573" s="2175" t="s">
        <v>1</v>
      </c>
      <c r="H573" s="2895"/>
      <c r="I573" s="2896"/>
      <c r="J573" s="2897"/>
      <c r="K573" s="2812"/>
      <c r="L573" s="2812"/>
      <c r="M573" s="2812"/>
      <c r="N573" s="2898"/>
      <c r="O573" s="2812"/>
      <c r="P573" s="2812"/>
      <c r="Q573" s="2812"/>
      <c r="R573" s="2812"/>
      <c r="S573" s="2812"/>
      <c r="T573" s="2812"/>
      <c r="U573" s="2895"/>
    </row>
    <row r="574" spans="1:21" ht="13" hidden="1" thickBot="1" x14ac:dyDescent="0.3">
      <c r="A574" s="437"/>
      <c r="B574" s="438"/>
      <c r="C574" s="439"/>
      <c r="D574" s="440"/>
      <c r="E574" s="440"/>
      <c r="F574" s="440"/>
      <c r="G574" s="2176"/>
      <c r="H574" s="2899"/>
      <c r="I574" s="2900"/>
      <c r="J574" s="2901"/>
      <c r="K574" s="2812"/>
      <c r="L574" s="2812"/>
      <c r="M574" s="2812"/>
      <c r="N574" s="2902"/>
      <c r="O574" s="2812"/>
      <c r="P574" s="2812"/>
      <c r="Q574" s="2812"/>
      <c r="R574" s="2812"/>
      <c r="S574" s="2812"/>
      <c r="T574" s="2812"/>
      <c r="U574" s="2899"/>
    </row>
    <row r="575" spans="1:21" ht="21.5" thickBot="1" x14ac:dyDescent="0.3">
      <c r="A575" s="298">
        <v>2</v>
      </c>
      <c r="B575" s="297" t="s">
        <v>1109</v>
      </c>
      <c r="C575" s="296" t="s">
        <v>1108</v>
      </c>
      <c r="D575" s="295"/>
      <c r="E575" s="295"/>
      <c r="F575" s="295"/>
      <c r="G575" s="2177"/>
      <c r="H575" s="2903">
        <f t="shared" ref="H575:H582" si="158">H576</f>
        <v>1300</v>
      </c>
      <c r="I575" s="2815">
        <v>0</v>
      </c>
      <c r="J575" s="2816">
        <v>0</v>
      </c>
      <c r="K575" s="2812"/>
      <c r="L575" s="2812"/>
      <c r="M575" s="2812"/>
      <c r="N575" s="2904">
        <v>0</v>
      </c>
      <c r="O575" s="2812"/>
      <c r="P575" s="2812"/>
      <c r="Q575" s="2812"/>
      <c r="R575" s="2812"/>
      <c r="S575" s="2812"/>
      <c r="T575" s="2812"/>
      <c r="U575" s="2903">
        <v>0</v>
      </c>
    </row>
    <row r="576" spans="1:21" x14ac:dyDescent="0.25">
      <c r="A576" s="291"/>
      <c r="B576" s="290" t="s">
        <v>431</v>
      </c>
      <c r="C576" s="289"/>
      <c r="D576" s="288" t="s">
        <v>456</v>
      </c>
      <c r="E576" s="288" t="s">
        <v>459</v>
      </c>
      <c r="F576" s="288"/>
      <c r="G576" s="2173"/>
      <c r="H576" s="2891">
        <f t="shared" si="158"/>
        <v>1300</v>
      </c>
      <c r="I576" s="2820">
        <v>0</v>
      </c>
      <c r="J576" s="2905">
        <v>0</v>
      </c>
      <c r="K576" s="2812" t="e">
        <v>#REF!</v>
      </c>
      <c r="L576" s="2812"/>
      <c r="M576" s="2812"/>
      <c r="N576" s="2892">
        <v>0</v>
      </c>
      <c r="O576" s="2812"/>
      <c r="P576" s="2812"/>
      <c r="Q576" s="2812"/>
      <c r="R576" s="2812"/>
      <c r="S576" s="2812"/>
      <c r="T576" s="2812"/>
      <c r="U576" s="2891">
        <v>0</v>
      </c>
    </row>
    <row r="577" spans="1:21" x14ac:dyDescent="0.25">
      <c r="A577" s="273"/>
      <c r="B577" s="282" t="s">
        <v>1110</v>
      </c>
      <c r="C577" s="279"/>
      <c r="D577" s="278" t="s">
        <v>456</v>
      </c>
      <c r="E577" s="278" t="s">
        <v>506</v>
      </c>
      <c r="F577" s="278"/>
      <c r="G577" s="2178"/>
      <c r="H577" s="2906">
        <f t="shared" si="158"/>
        <v>1300</v>
      </c>
      <c r="I577" s="2853">
        <v>0</v>
      </c>
      <c r="J577" s="2854">
        <v>0</v>
      </c>
      <c r="K577" s="2812"/>
      <c r="L577" s="2812"/>
      <c r="M577" s="2812"/>
      <c r="N577" s="2907">
        <v>0</v>
      </c>
      <c r="O577" s="2812"/>
      <c r="P577" s="2812"/>
      <c r="Q577" s="2812"/>
      <c r="R577" s="2812"/>
      <c r="S577" s="2812"/>
      <c r="T577" s="2812"/>
      <c r="U577" s="2906">
        <v>0</v>
      </c>
    </row>
    <row r="578" spans="1:21" ht="21" x14ac:dyDescent="0.25">
      <c r="A578" s="281"/>
      <c r="B578" s="307" t="s">
        <v>1111</v>
      </c>
      <c r="C578" s="279"/>
      <c r="D578" s="278" t="s">
        <v>456</v>
      </c>
      <c r="E578" s="278" t="s">
        <v>506</v>
      </c>
      <c r="F578" s="278" t="s">
        <v>89</v>
      </c>
      <c r="G578" s="2178"/>
      <c r="H578" s="2906">
        <f t="shared" si="158"/>
        <v>1300</v>
      </c>
      <c r="I578" s="2853">
        <v>0</v>
      </c>
      <c r="J578" s="2854">
        <v>0</v>
      </c>
      <c r="K578" s="2812"/>
      <c r="L578" s="2812"/>
      <c r="M578" s="2812"/>
      <c r="N578" s="2907">
        <v>0</v>
      </c>
      <c r="O578" s="2812"/>
      <c r="P578" s="2812"/>
      <c r="Q578" s="2812"/>
      <c r="R578" s="2812"/>
      <c r="S578" s="2812"/>
      <c r="T578" s="2812"/>
      <c r="U578" s="2906">
        <v>0</v>
      </c>
    </row>
    <row r="579" spans="1:21" x14ac:dyDescent="0.25">
      <c r="A579" s="281"/>
      <c r="B579" s="310" t="s">
        <v>582</v>
      </c>
      <c r="C579" s="272"/>
      <c r="D579" s="271" t="s">
        <v>456</v>
      </c>
      <c r="E579" s="271" t="s">
        <v>506</v>
      </c>
      <c r="F579" s="271" t="s">
        <v>84</v>
      </c>
      <c r="G579" s="2174"/>
      <c r="H579" s="2893">
        <f t="shared" si="158"/>
        <v>1300</v>
      </c>
      <c r="I579" s="2849">
        <v>0</v>
      </c>
      <c r="J579" s="2850">
        <v>0</v>
      </c>
      <c r="K579" s="2812"/>
      <c r="L579" s="2812"/>
      <c r="M579" s="2812"/>
      <c r="N579" s="2894">
        <v>0</v>
      </c>
      <c r="O579" s="2812"/>
      <c r="P579" s="2812"/>
      <c r="Q579" s="2812"/>
      <c r="R579" s="2812"/>
      <c r="S579" s="2812"/>
      <c r="T579" s="2812"/>
      <c r="U579" s="2893">
        <v>0</v>
      </c>
    </row>
    <row r="580" spans="1:21" x14ac:dyDescent="0.25">
      <c r="A580" s="281"/>
      <c r="B580" s="274" t="s">
        <v>582</v>
      </c>
      <c r="C580" s="272"/>
      <c r="D580" s="271" t="s">
        <v>595</v>
      </c>
      <c r="E580" s="271" t="s">
        <v>506</v>
      </c>
      <c r="F580" s="271" t="s">
        <v>82</v>
      </c>
      <c r="G580" s="2174"/>
      <c r="H580" s="2893">
        <f t="shared" si="158"/>
        <v>1300</v>
      </c>
      <c r="I580" s="2849">
        <v>0</v>
      </c>
      <c r="J580" s="2850">
        <v>0</v>
      </c>
      <c r="K580" s="2812"/>
      <c r="L580" s="2812"/>
      <c r="M580" s="2812"/>
      <c r="N580" s="2894">
        <v>0</v>
      </c>
      <c r="O580" s="2812"/>
      <c r="P580" s="2812"/>
      <c r="Q580" s="2812"/>
      <c r="R580" s="2812"/>
      <c r="S580" s="2812"/>
      <c r="T580" s="2812"/>
      <c r="U580" s="2893">
        <v>0</v>
      </c>
    </row>
    <row r="581" spans="1:21" ht="20" x14ac:dyDescent="0.25">
      <c r="A581" s="281"/>
      <c r="B581" s="285" t="s">
        <v>1114</v>
      </c>
      <c r="C581" s="272"/>
      <c r="D581" s="271" t="s">
        <v>595</v>
      </c>
      <c r="E581" s="271" t="s">
        <v>506</v>
      </c>
      <c r="F581" s="271" t="s">
        <v>1104</v>
      </c>
      <c r="G581" s="2174"/>
      <c r="H581" s="2893">
        <f t="shared" si="158"/>
        <v>1300</v>
      </c>
      <c r="I581" s="2849">
        <v>0</v>
      </c>
      <c r="J581" s="2850">
        <v>0</v>
      </c>
      <c r="K581" s="2812"/>
      <c r="L581" s="2812"/>
      <c r="M581" s="2812"/>
      <c r="N581" s="2894">
        <v>0</v>
      </c>
      <c r="O581" s="2812"/>
      <c r="P581" s="2812"/>
      <c r="Q581" s="2812"/>
      <c r="R581" s="2812"/>
      <c r="S581" s="2812"/>
      <c r="T581" s="2812"/>
      <c r="U581" s="2893">
        <v>0</v>
      </c>
    </row>
    <row r="582" spans="1:21" x14ac:dyDescent="0.25">
      <c r="A582" s="273"/>
      <c r="B582" s="284" t="s">
        <v>1065</v>
      </c>
      <c r="C582" s="283"/>
      <c r="D582" s="271" t="s">
        <v>456</v>
      </c>
      <c r="E582" s="271" t="s">
        <v>506</v>
      </c>
      <c r="F582" s="271" t="s">
        <v>1104</v>
      </c>
      <c r="G582" s="2174" t="s">
        <v>1064</v>
      </c>
      <c r="H582" s="2893">
        <f t="shared" si="158"/>
        <v>1300</v>
      </c>
      <c r="I582" s="2849"/>
      <c r="J582" s="2850"/>
      <c r="K582" s="2812"/>
      <c r="L582" s="2812"/>
      <c r="M582" s="2812"/>
      <c r="N582" s="2894">
        <v>0</v>
      </c>
      <c r="O582" s="2812"/>
      <c r="P582" s="2812"/>
      <c r="Q582" s="2812"/>
      <c r="R582" s="2812"/>
      <c r="S582" s="2812"/>
      <c r="T582" s="2812"/>
      <c r="U582" s="2893">
        <v>0</v>
      </c>
    </row>
    <row r="583" spans="1:21" ht="13" thickBot="1" x14ac:dyDescent="0.3">
      <c r="A583" s="273"/>
      <c r="B583" s="284" t="s">
        <v>1112</v>
      </c>
      <c r="C583" s="283"/>
      <c r="D583" s="271" t="s">
        <v>456</v>
      </c>
      <c r="E583" s="271" t="s">
        <v>506</v>
      </c>
      <c r="F583" s="271" t="s">
        <v>1104</v>
      </c>
      <c r="G583" s="2174" t="s">
        <v>1113</v>
      </c>
      <c r="H583" s="2893">
        <v>1300</v>
      </c>
      <c r="I583" s="2849"/>
      <c r="J583" s="2850"/>
      <c r="K583" s="2812" t="e">
        <v>#REF!</v>
      </c>
      <c r="L583" s="2812" t="e">
        <v>#REF!</v>
      </c>
      <c r="M583" s="2812"/>
      <c r="N583" s="2894">
        <v>0</v>
      </c>
      <c r="O583" s="2812"/>
      <c r="P583" s="2812"/>
      <c r="Q583" s="2812"/>
      <c r="R583" s="2812"/>
      <c r="S583" s="2812"/>
      <c r="T583" s="2812"/>
      <c r="U583" s="2893">
        <v>0</v>
      </c>
    </row>
    <row r="584" spans="1:21" hidden="1" x14ac:dyDescent="0.25">
      <c r="A584" s="273"/>
      <c r="B584" s="284" t="s">
        <v>457</v>
      </c>
      <c r="C584" s="283"/>
      <c r="D584" s="271" t="s">
        <v>453</v>
      </c>
      <c r="E584" s="271" t="s">
        <v>456</v>
      </c>
      <c r="F584" s="271" t="s">
        <v>254</v>
      </c>
      <c r="G584" s="2174" t="s">
        <v>91</v>
      </c>
      <c r="H584" s="2893">
        <v>0.71299999999999997</v>
      </c>
      <c r="I584" s="2849">
        <v>1</v>
      </c>
      <c r="J584" s="2850">
        <v>1</v>
      </c>
      <c r="K584" s="2812"/>
      <c r="L584" s="2812"/>
      <c r="M584" s="2812"/>
      <c r="N584" s="2894">
        <v>0.71299999999999997</v>
      </c>
      <c r="O584" s="2812"/>
      <c r="P584" s="2812"/>
      <c r="Q584" s="2812"/>
      <c r="R584" s="2812"/>
      <c r="S584" s="2812"/>
      <c r="T584" s="2812"/>
      <c r="U584" s="2893">
        <v>0.71299999999999997</v>
      </c>
    </row>
    <row r="585" spans="1:21" ht="21" hidden="1" x14ac:dyDescent="0.25">
      <c r="A585" s="732"/>
      <c r="B585" s="752" t="s">
        <v>499</v>
      </c>
      <c r="C585" s="408"/>
      <c r="D585" s="408" t="s">
        <v>453</v>
      </c>
      <c r="E585" s="408" t="s">
        <v>456</v>
      </c>
      <c r="F585" s="408" t="s">
        <v>89</v>
      </c>
      <c r="G585" s="1662"/>
      <c r="H585" s="2852">
        <f>H586</f>
        <v>660.6</v>
      </c>
      <c r="I585" s="2849"/>
      <c r="J585" s="2850"/>
      <c r="K585" s="2812"/>
      <c r="L585" s="2812"/>
      <c r="M585" s="2812"/>
      <c r="N585" s="2908">
        <f>N586</f>
        <v>660.6</v>
      </c>
      <c r="O585" s="2812"/>
      <c r="P585" s="2812"/>
      <c r="Q585" s="2812"/>
      <c r="R585" s="2812"/>
      <c r="S585" s="2812"/>
      <c r="T585" s="2812"/>
      <c r="U585" s="2852">
        <f>U586</f>
        <v>660.6</v>
      </c>
    </row>
    <row r="586" spans="1:21" hidden="1" x14ac:dyDescent="0.25">
      <c r="A586" s="732"/>
      <c r="B586" s="753" t="s">
        <v>109</v>
      </c>
      <c r="C586" s="409"/>
      <c r="D586" s="409" t="s">
        <v>453</v>
      </c>
      <c r="E586" s="409" t="s">
        <v>456</v>
      </c>
      <c r="F586" s="409" t="s">
        <v>84</v>
      </c>
      <c r="G586" s="1662"/>
      <c r="H586" s="2848">
        <f>H587</f>
        <v>660.6</v>
      </c>
      <c r="I586" s="2849"/>
      <c r="J586" s="2850"/>
      <c r="K586" s="2812"/>
      <c r="L586" s="2812"/>
      <c r="M586" s="2812"/>
      <c r="N586" s="2909">
        <f>N587</f>
        <v>660.6</v>
      </c>
      <c r="O586" s="2812"/>
      <c r="P586" s="2812"/>
      <c r="Q586" s="2812"/>
      <c r="R586" s="2812"/>
      <c r="S586" s="2812"/>
      <c r="T586" s="2812"/>
      <c r="U586" s="2848">
        <f>U587</f>
        <v>660.6</v>
      </c>
    </row>
    <row r="587" spans="1:21" hidden="1" x14ac:dyDescent="0.25">
      <c r="A587" s="732"/>
      <c r="B587" s="753" t="s">
        <v>109</v>
      </c>
      <c r="C587" s="409"/>
      <c r="D587" s="409" t="s">
        <v>453</v>
      </c>
      <c r="E587" s="409" t="s">
        <v>456</v>
      </c>
      <c r="F587" s="409" t="s">
        <v>82</v>
      </c>
      <c r="G587" s="1662"/>
      <c r="H587" s="2848">
        <f>H588</f>
        <v>660.6</v>
      </c>
      <c r="I587" s="2849"/>
      <c r="J587" s="2850"/>
      <c r="K587" s="2812"/>
      <c r="L587" s="2812"/>
      <c r="M587" s="2812"/>
      <c r="N587" s="2909">
        <f>N588</f>
        <v>660.6</v>
      </c>
      <c r="O587" s="2812"/>
      <c r="P587" s="2812"/>
      <c r="Q587" s="2812"/>
      <c r="R587" s="2812"/>
      <c r="S587" s="2812"/>
      <c r="T587" s="2812"/>
      <c r="U587" s="2848">
        <f>U588</f>
        <v>660.6</v>
      </c>
    </row>
    <row r="588" spans="1:21" hidden="1" x14ac:dyDescent="0.25">
      <c r="A588" s="732"/>
      <c r="B588" s="1894" t="s">
        <v>830</v>
      </c>
      <c r="C588" s="409"/>
      <c r="D588" s="409" t="s">
        <v>453</v>
      </c>
      <c r="E588" s="409" t="s">
        <v>456</v>
      </c>
      <c r="F588" s="409" t="s">
        <v>831</v>
      </c>
      <c r="G588" s="1662"/>
      <c r="H588" s="2848">
        <f>H589</f>
        <v>660.6</v>
      </c>
      <c r="I588" s="2849"/>
      <c r="J588" s="2850"/>
      <c r="K588" s="2812"/>
      <c r="L588" s="2812"/>
      <c r="M588" s="2812"/>
      <c r="N588" s="2909">
        <f>N589</f>
        <v>660.6</v>
      </c>
      <c r="O588" s="2812"/>
      <c r="P588" s="2812"/>
      <c r="Q588" s="2812"/>
      <c r="R588" s="2812"/>
      <c r="S588" s="2812"/>
      <c r="T588" s="2812"/>
      <c r="U588" s="2848">
        <f>U589</f>
        <v>660.6</v>
      </c>
    </row>
    <row r="589" spans="1:21" ht="13" hidden="1" x14ac:dyDescent="0.25">
      <c r="A589" s="732"/>
      <c r="B589" s="754" t="s">
        <v>256</v>
      </c>
      <c r="C589" s="409"/>
      <c r="D589" s="409" t="s">
        <v>453</v>
      </c>
      <c r="E589" s="409" t="s">
        <v>456</v>
      </c>
      <c r="F589" s="409" t="s">
        <v>831</v>
      </c>
      <c r="G589" s="1662" t="s">
        <v>255</v>
      </c>
      <c r="H589" s="2848">
        <v>660.6</v>
      </c>
      <c r="I589" s="2849"/>
      <c r="J589" s="2850"/>
      <c r="K589" s="2812"/>
      <c r="L589" s="2812"/>
      <c r="M589" s="2812"/>
      <c r="N589" s="2909">
        <v>660.6</v>
      </c>
      <c r="O589" s="2812"/>
      <c r="P589" s="2812"/>
      <c r="Q589" s="2812"/>
      <c r="R589" s="2812"/>
      <c r="S589" s="2812"/>
      <c r="T589" s="2812"/>
      <c r="U589" s="2848">
        <v>660.6</v>
      </c>
    </row>
    <row r="590" spans="1:21" hidden="1" x14ac:dyDescent="0.25">
      <c r="A590" s="751"/>
      <c r="B590" s="282" t="s">
        <v>244</v>
      </c>
      <c r="C590" s="279"/>
      <c r="D590" s="278" t="s">
        <v>453</v>
      </c>
      <c r="E590" s="278" t="s">
        <v>452</v>
      </c>
      <c r="F590" s="278"/>
      <c r="G590" s="2178"/>
      <c r="H590" s="2906">
        <f t="shared" ref="H590:J591" si="159">H591</f>
        <v>5263.9850000000006</v>
      </c>
      <c r="I590" s="2853">
        <f t="shared" si="159"/>
        <v>1250.5</v>
      </c>
      <c r="J590" s="2854">
        <f t="shared" si="159"/>
        <v>1348</v>
      </c>
      <c r="K590" s="2812"/>
      <c r="L590" s="2812"/>
      <c r="M590" s="2812"/>
      <c r="N590" s="2907">
        <f t="shared" ref="N590:N591" si="160">N591</f>
        <v>5421.5709999999999</v>
      </c>
      <c r="O590" s="2812"/>
      <c r="P590" s="2812"/>
      <c r="Q590" s="2812"/>
      <c r="R590" s="2812"/>
      <c r="S590" s="2812"/>
      <c r="T590" s="2812"/>
      <c r="U590" s="2906">
        <f t="shared" ref="U590:U591" si="161">U591</f>
        <v>5586.2330000000002</v>
      </c>
    </row>
    <row r="591" spans="1:21" ht="31.5" hidden="1" x14ac:dyDescent="0.25">
      <c r="A591" s="281"/>
      <c r="B591" s="307" t="s">
        <v>621</v>
      </c>
      <c r="C591" s="279"/>
      <c r="D591" s="278" t="s">
        <v>453</v>
      </c>
      <c r="E591" s="278" t="s">
        <v>452</v>
      </c>
      <c r="F591" s="278" t="s">
        <v>273</v>
      </c>
      <c r="G591" s="2178"/>
      <c r="H591" s="2906">
        <f t="shared" si="159"/>
        <v>5263.9850000000006</v>
      </c>
      <c r="I591" s="2853">
        <f t="shared" si="159"/>
        <v>1250.5</v>
      </c>
      <c r="J591" s="2854">
        <f t="shared" si="159"/>
        <v>1348</v>
      </c>
      <c r="K591" s="2812"/>
      <c r="L591" s="2812"/>
      <c r="M591" s="2812"/>
      <c r="N591" s="2907">
        <f t="shared" si="160"/>
        <v>5421.5709999999999</v>
      </c>
      <c r="O591" s="2812"/>
      <c r="P591" s="2812"/>
      <c r="Q591" s="2812"/>
      <c r="R591" s="2812"/>
      <c r="S591" s="2812"/>
      <c r="T591" s="2812"/>
      <c r="U591" s="2906">
        <f t="shared" si="161"/>
        <v>5586.2330000000002</v>
      </c>
    </row>
    <row r="592" spans="1:21" hidden="1" x14ac:dyDescent="0.25">
      <c r="A592" s="273"/>
      <c r="B592" s="310" t="s">
        <v>836</v>
      </c>
      <c r="C592" s="272"/>
      <c r="D592" s="271" t="s">
        <v>453</v>
      </c>
      <c r="E592" s="271" t="s">
        <v>452</v>
      </c>
      <c r="F592" s="271" t="s">
        <v>251</v>
      </c>
      <c r="G592" s="2174"/>
      <c r="H592" s="2893">
        <f>H593+H596</f>
        <v>5263.9850000000006</v>
      </c>
      <c r="I592" s="2849">
        <f>I593+I596</f>
        <v>1250.5</v>
      </c>
      <c r="J592" s="2850">
        <f>J593+J596</f>
        <v>1348</v>
      </c>
      <c r="K592" s="2812"/>
      <c r="L592" s="2812"/>
      <c r="M592" s="2812"/>
      <c r="N592" s="2894">
        <f>N593+N596</f>
        <v>5421.5709999999999</v>
      </c>
      <c r="O592" s="2812"/>
      <c r="P592" s="2812"/>
      <c r="Q592" s="2812"/>
      <c r="R592" s="2812"/>
      <c r="S592" s="2812"/>
      <c r="T592" s="2812"/>
      <c r="U592" s="2893">
        <f>U593+U596</f>
        <v>5586.2330000000002</v>
      </c>
    </row>
    <row r="593" spans="1:21" hidden="1" x14ac:dyDescent="0.25">
      <c r="A593" s="273"/>
      <c r="B593" s="274" t="s">
        <v>250</v>
      </c>
      <c r="C593" s="272"/>
      <c r="D593" s="271" t="s">
        <v>453</v>
      </c>
      <c r="E593" s="271" t="s">
        <v>452</v>
      </c>
      <c r="F593" s="271" t="s">
        <v>249</v>
      </c>
      <c r="G593" s="2174"/>
      <c r="H593" s="2893">
        <f t="shared" ref="H593:J594" si="162">H594</f>
        <v>1650.46</v>
      </c>
      <c r="I593" s="2849">
        <f t="shared" si="162"/>
        <v>1250.5</v>
      </c>
      <c r="J593" s="2850">
        <f t="shared" si="162"/>
        <v>1348</v>
      </c>
      <c r="K593" s="2812"/>
      <c r="L593" s="2812"/>
      <c r="M593" s="2812"/>
      <c r="N593" s="2894">
        <f t="shared" ref="N593:N594" si="163">N594</f>
        <v>1650.46</v>
      </c>
      <c r="O593" s="2812"/>
      <c r="P593" s="2812"/>
      <c r="Q593" s="2812"/>
      <c r="R593" s="2812"/>
      <c r="S593" s="2812"/>
      <c r="T593" s="2812"/>
      <c r="U593" s="2893">
        <f t="shared" ref="U593:U594" si="164">U594</f>
        <v>1650.46</v>
      </c>
    </row>
    <row r="594" spans="1:21" ht="13" hidden="1" x14ac:dyDescent="0.25">
      <c r="A594" s="273"/>
      <c r="B594" s="90" t="s">
        <v>248</v>
      </c>
      <c r="C594" s="272"/>
      <c r="D594" s="271" t="s">
        <v>453</v>
      </c>
      <c r="E594" s="271" t="s">
        <v>452</v>
      </c>
      <c r="F594" s="271" t="s">
        <v>243</v>
      </c>
      <c r="G594" s="2174"/>
      <c r="H594" s="2893">
        <f t="shared" si="162"/>
        <v>1650.46</v>
      </c>
      <c r="I594" s="2849">
        <f t="shared" si="162"/>
        <v>1250.5</v>
      </c>
      <c r="J594" s="2850">
        <f t="shared" si="162"/>
        <v>1348</v>
      </c>
      <c r="K594" s="2812"/>
      <c r="L594" s="2812"/>
      <c r="M594" s="2812"/>
      <c r="N594" s="2894">
        <f t="shared" si="163"/>
        <v>1650.46</v>
      </c>
      <c r="O594" s="2812"/>
      <c r="P594" s="2812"/>
      <c r="Q594" s="2812"/>
      <c r="R594" s="2812"/>
      <c r="S594" s="2812"/>
      <c r="T594" s="2812"/>
      <c r="U594" s="2893">
        <f t="shared" si="164"/>
        <v>1650.46</v>
      </c>
    </row>
    <row r="595" spans="1:21" ht="20.5" hidden="1" thickBot="1" x14ac:dyDescent="0.3">
      <c r="A595" s="2170"/>
      <c r="B595" s="303" t="s">
        <v>454</v>
      </c>
      <c r="C595" s="302"/>
      <c r="D595" s="301" t="s">
        <v>453</v>
      </c>
      <c r="E595" s="301" t="s">
        <v>452</v>
      </c>
      <c r="F595" s="301" t="s">
        <v>243</v>
      </c>
      <c r="G595" s="2175" t="s">
        <v>1</v>
      </c>
      <c r="H595" s="2895">
        <v>1650.46</v>
      </c>
      <c r="I595" s="2896">
        <v>1250.5</v>
      </c>
      <c r="J595" s="2897">
        <v>1348</v>
      </c>
      <c r="K595" s="2812"/>
      <c r="L595" s="2812"/>
      <c r="M595" s="2812"/>
      <c r="N595" s="2898">
        <v>1650.46</v>
      </c>
      <c r="O595" s="2812"/>
      <c r="P595" s="2812"/>
      <c r="Q595" s="2812"/>
      <c r="R595" s="2812"/>
      <c r="S595" s="2812"/>
      <c r="T595" s="2812"/>
      <c r="U595" s="2895">
        <v>1650.46</v>
      </c>
    </row>
    <row r="596" spans="1:21" ht="23.5" thickBot="1" x14ac:dyDescent="0.3">
      <c r="A596" s="1168">
        <v>3</v>
      </c>
      <c r="B596" s="1171" t="s">
        <v>1038</v>
      </c>
      <c r="C596" s="1161" t="s">
        <v>1039</v>
      </c>
      <c r="D596" s="1161"/>
      <c r="E596" s="1161"/>
      <c r="F596" s="1161"/>
      <c r="G596" s="1658"/>
      <c r="H596" s="2814">
        <f>H597</f>
        <v>3613.5250000000001</v>
      </c>
      <c r="I596" s="2815">
        <f>I597+I667+I693+I742+I816+I827+I866+I881+I659</f>
        <v>0</v>
      </c>
      <c r="J596" s="2818">
        <f>J597+J667+J693+J742+J816+J827+J866+J881+J659</f>
        <v>0</v>
      </c>
      <c r="K596" s="2910"/>
      <c r="L596" s="2910"/>
      <c r="M596" s="2910"/>
      <c r="N596" s="2817">
        <f>N597</f>
        <v>3771.1109999999999</v>
      </c>
      <c r="O596" s="2910"/>
      <c r="P596" s="2910"/>
      <c r="Q596" s="2910"/>
      <c r="R596" s="2910"/>
      <c r="S596" s="2910"/>
      <c r="T596" s="2910"/>
      <c r="U596" s="2814">
        <f>U597</f>
        <v>3935.7730000000001</v>
      </c>
    </row>
    <row r="597" spans="1:21" x14ac:dyDescent="0.25">
      <c r="A597" s="145"/>
      <c r="B597" s="1173" t="s">
        <v>431</v>
      </c>
      <c r="C597" s="1174"/>
      <c r="D597" s="1175" t="s">
        <v>456</v>
      </c>
      <c r="E597" s="1175" t="s">
        <v>459</v>
      </c>
      <c r="F597" s="1175"/>
      <c r="G597" s="1660"/>
      <c r="H597" s="2819">
        <f>H604+H611</f>
        <v>3613.5250000000001</v>
      </c>
      <c r="I597" s="2820">
        <f>I598+I611+I629</f>
        <v>0</v>
      </c>
      <c r="J597" s="2821">
        <f>J598+J611+J629</f>
        <v>0</v>
      </c>
      <c r="K597" s="2822">
        <f>K610+K617+K619+K623+K636+K637+K638+K640+K642+K648+K654+K666+K670+K671+K672+K673</f>
        <v>5</v>
      </c>
      <c r="L597" s="2812"/>
      <c r="M597" s="2812"/>
      <c r="N597" s="2823">
        <f>N604+N611</f>
        <v>3771.1109999999999</v>
      </c>
      <c r="O597" s="2812"/>
      <c r="P597" s="2812"/>
      <c r="Q597" s="2812"/>
      <c r="R597" s="2812"/>
      <c r="S597" s="2812"/>
      <c r="T597" s="2812"/>
      <c r="U597" s="2819">
        <f>U604+U611</f>
        <v>3935.7730000000001</v>
      </c>
    </row>
    <row r="598" spans="1:21" ht="21" hidden="1" x14ac:dyDescent="0.25">
      <c r="A598" s="32"/>
      <c r="B598" s="752" t="s">
        <v>600</v>
      </c>
      <c r="C598" s="1177"/>
      <c r="D598" s="408" t="s">
        <v>456</v>
      </c>
      <c r="E598" s="408" t="s">
        <v>488</v>
      </c>
      <c r="F598" s="408"/>
      <c r="G598" s="1661"/>
      <c r="H598" s="2824"/>
      <c r="I598" s="2825">
        <f t="shared" ref="I598:J602" si="165">I599</f>
        <v>0</v>
      </c>
      <c r="J598" s="2826">
        <f t="shared" si="165"/>
        <v>0</v>
      </c>
      <c r="K598" s="2812"/>
      <c r="L598" s="2812"/>
      <c r="M598" s="2812"/>
      <c r="N598" s="2827"/>
      <c r="O598" s="2812"/>
      <c r="P598" s="2812"/>
      <c r="Q598" s="2812"/>
      <c r="R598" s="2812"/>
      <c r="S598" s="2812"/>
      <c r="T598" s="2812"/>
      <c r="U598" s="2824"/>
    </row>
    <row r="599" spans="1:21" ht="21" hidden="1" x14ac:dyDescent="0.25">
      <c r="A599" s="32"/>
      <c r="B599" s="753" t="s">
        <v>599</v>
      </c>
      <c r="C599" s="1180"/>
      <c r="D599" s="409" t="s">
        <v>456</v>
      </c>
      <c r="E599" s="409" t="s">
        <v>488</v>
      </c>
      <c r="F599" s="409" t="s">
        <v>157</v>
      </c>
      <c r="G599" s="1662"/>
      <c r="H599" s="2828"/>
      <c r="I599" s="2829">
        <f t="shared" si="165"/>
        <v>0</v>
      </c>
      <c r="J599" s="2830">
        <f t="shared" si="165"/>
        <v>0</v>
      </c>
      <c r="K599" s="2812"/>
      <c r="L599" s="2812"/>
      <c r="M599" s="2812"/>
      <c r="N599" s="2831"/>
      <c r="O599" s="2812"/>
      <c r="P599" s="2812"/>
      <c r="Q599" s="2812"/>
      <c r="R599" s="2812"/>
      <c r="S599" s="2812"/>
      <c r="T599" s="2812"/>
      <c r="U599" s="2828"/>
    </row>
    <row r="600" spans="1:21" ht="21" hidden="1" x14ac:dyDescent="0.25">
      <c r="A600" s="32"/>
      <c r="B600" s="753" t="s">
        <v>596</v>
      </c>
      <c r="C600" s="1180"/>
      <c r="D600" s="409" t="s">
        <v>456</v>
      </c>
      <c r="E600" s="409" t="s">
        <v>488</v>
      </c>
      <c r="F600" s="409" t="s">
        <v>598</v>
      </c>
      <c r="G600" s="1662"/>
      <c r="H600" s="2828"/>
      <c r="I600" s="2829">
        <f t="shared" si="165"/>
        <v>0</v>
      </c>
      <c r="J600" s="2830">
        <f t="shared" si="165"/>
        <v>0</v>
      </c>
      <c r="K600" s="2812"/>
      <c r="L600" s="2812"/>
      <c r="M600" s="2812"/>
      <c r="N600" s="2831"/>
      <c r="O600" s="2812"/>
      <c r="P600" s="2812"/>
      <c r="Q600" s="2812"/>
      <c r="R600" s="2812"/>
      <c r="S600" s="2812"/>
      <c r="T600" s="2812"/>
      <c r="U600" s="2828"/>
    </row>
    <row r="601" spans="1:21" hidden="1" x14ac:dyDescent="0.25">
      <c r="A601" s="32"/>
      <c r="B601" s="753" t="s">
        <v>582</v>
      </c>
      <c r="C601" s="1180"/>
      <c r="D601" s="409" t="s">
        <v>595</v>
      </c>
      <c r="E601" s="409" t="s">
        <v>594</v>
      </c>
      <c r="F601" s="409" t="s">
        <v>597</v>
      </c>
      <c r="G601" s="1662"/>
      <c r="H601" s="2828"/>
      <c r="I601" s="2829">
        <f t="shared" si="165"/>
        <v>0</v>
      </c>
      <c r="J601" s="2830">
        <f t="shared" si="165"/>
        <v>0</v>
      </c>
      <c r="K601" s="2812"/>
      <c r="L601" s="2812"/>
      <c r="M601" s="2812"/>
      <c r="N601" s="2831"/>
      <c r="O601" s="2812"/>
      <c r="P601" s="2812"/>
      <c r="Q601" s="2812"/>
      <c r="R601" s="2812"/>
      <c r="S601" s="2812"/>
      <c r="T601" s="2812"/>
      <c r="U601" s="2828"/>
    </row>
    <row r="602" spans="1:21" ht="21" hidden="1" x14ac:dyDescent="0.25">
      <c r="A602" s="32"/>
      <c r="B602" s="753" t="s">
        <v>596</v>
      </c>
      <c r="C602" s="1180"/>
      <c r="D602" s="409" t="s">
        <v>595</v>
      </c>
      <c r="E602" s="409" t="s">
        <v>594</v>
      </c>
      <c r="F602" s="409" t="s">
        <v>593</v>
      </c>
      <c r="G602" s="1662"/>
      <c r="H602" s="2828"/>
      <c r="I602" s="2829">
        <f t="shared" si="165"/>
        <v>0</v>
      </c>
      <c r="J602" s="2830">
        <f t="shared" si="165"/>
        <v>0</v>
      </c>
      <c r="K602" s="2812"/>
      <c r="L602" s="2812"/>
      <c r="M602" s="2812"/>
      <c r="N602" s="2831"/>
      <c r="O602" s="2812"/>
      <c r="P602" s="2812"/>
      <c r="Q602" s="2812"/>
      <c r="R602" s="2812"/>
      <c r="S602" s="2812"/>
      <c r="T602" s="2812"/>
      <c r="U602" s="2828"/>
    </row>
    <row r="603" spans="1:21" hidden="1" x14ac:dyDescent="0.25">
      <c r="A603" s="32"/>
      <c r="B603" s="1182" t="s">
        <v>571</v>
      </c>
      <c r="C603" s="1183"/>
      <c r="D603" s="409" t="s">
        <v>456</v>
      </c>
      <c r="E603" s="409" t="s">
        <v>488</v>
      </c>
      <c r="F603" s="409" t="s">
        <v>593</v>
      </c>
      <c r="G603" s="1662" t="s">
        <v>5</v>
      </c>
      <c r="H603" s="2828"/>
      <c r="I603" s="2829"/>
      <c r="J603" s="2830"/>
      <c r="K603" s="2812"/>
      <c r="L603" s="2812"/>
      <c r="M603" s="2812"/>
      <c r="N603" s="2831"/>
      <c r="O603" s="2812"/>
      <c r="P603" s="2812"/>
      <c r="Q603" s="2812"/>
      <c r="R603" s="2812"/>
      <c r="S603" s="2812"/>
      <c r="T603" s="2812"/>
      <c r="U603" s="2828"/>
    </row>
    <row r="604" spans="1:21" ht="23" x14ac:dyDescent="0.25">
      <c r="A604" s="32"/>
      <c r="B604" s="1184" t="s">
        <v>600</v>
      </c>
      <c r="C604" s="1183"/>
      <c r="D604" s="408" t="s">
        <v>456</v>
      </c>
      <c r="E604" s="408" t="s">
        <v>488</v>
      </c>
      <c r="F604" s="409"/>
      <c r="G604" s="1662"/>
      <c r="H604" s="2824">
        <f>H605</f>
        <v>2133.8009999999999</v>
      </c>
      <c r="I604" s="2829"/>
      <c r="J604" s="2830"/>
      <c r="K604" s="2812">
        <f>K610+K617+K619+K623</f>
        <v>5</v>
      </c>
      <c r="L604" s="2812">
        <f>K604-3579.885</f>
        <v>-3574.8850000000002</v>
      </c>
      <c r="M604" s="2812"/>
      <c r="N604" s="2827">
        <f>N605</f>
        <v>1930.921</v>
      </c>
      <c r="O604" s="2812"/>
      <c r="P604" s="2812"/>
      <c r="Q604" s="2812"/>
      <c r="R604" s="2812"/>
      <c r="S604" s="2812"/>
      <c r="T604" s="2812"/>
      <c r="U604" s="2824">
        <f>U605</f>
        <v>2008.1569999999999</v>
      </c>
    </row>
    <row r="605" spans="1:21" ht="21" x14ac:dyDescent="0.25">
      <c r="A605" s="32"/>
      <c r="B605" s="753" t="s">
        <v>866</v>
      </c>
      <c r="C605" s="1183"/>
      <c r="D605" s="409" t="s">
        <v>456</v>
      </c>
      <c r="E605" s="409" t="s">
        <v>488</v>
      </c>
      <c r="F605" s="409" t="s">
        <v>157</v>
      </c>
      <c r="G605" s="1662"/>
      <c r="H605" s="2828">
        <f>H606</f>
        <v>2133.8009999999999</v>
      </c>
      <c r="I605" s="2829"/>
      <c r="J605" s="2830"/>
      <c r="K605" s="2812"/>
      <c r="L605" s="2812"/>
      <c r="M605" s="2812"/>
      <c r="N605" s="2831">
        <f>N606</f>
        <v>1930.921</v>
      </c>
      <c r="O605" s="2812"/>
      <c r="P605" s="2812"/>
      <c r="Q605" s="2812"/>
      <c r="R605" s="2812"/>
      <c r="S605" s="2812"/>
      <c r="T605" s="2812"/>
      <c r="U605" s="2828">
        <f>U606</f>
        <v>2008.1569999999999</v>
      </c>
    </row>
    <row r="606" spans="1:21" ht="21" x14ac:dyDescent="0.25">
      <c r="A606" s="32"/>
      <c r="B606" s="753" t="s">
        <v>867</v>
      </c>
      <c r="C606" s="1183"/>
      <c r="D606" s="409" t="s">
        <v>456</v>
      </c>
      <c r="E606" s="409" t="s">
        <v>488</v>
      </c>
      <c r="F606" s="409" t="s">
        <v>598</v>
      </c>
      <c r="G606" s="1662"/>
      <c r="H606" s="2828">
        <f>H607</f>
        <v>2133.8009999999999</v>
      </c>
      <c r="I606" s="2829"/>
      <c r="J606" s="2830"/>
      <c r="K606" s="2812"/>
      <c r="L606" s="2812"/>
      <c r="M606" s="2812"/>
      <c r="N606" s="2831">
        <f>N607</f>
        <v>1930.921</v>
      </c>
      <c r="O606" s="2812"/>
      <c r="P606" s="2812"/>
      <c r="Q606" s="2812"/>
      <c r="R606" s="2812"/>
      <c r="S606" s="2812"/>
      <c r="T606" s="2812"/>
      <c r="U606" s="2828">
        <f>U607</f>
        <v>2008.1569999999999</v>
      </c>
    </row>
    <row r="607" spans="1:21" x14ac:dyDescent="0.25">
      <c r="A607" s="32"/>
      <c r="B607" s="753" t="s">
        <v>582</v>
      </c>
      <c r="C607" s="1183"/>
      <c r="D607" s="409" t="s">
        <v>456</v>
      </c>
      <c r="E607" s="409" t="s">
        <v>488</v>
      </c>
      <c r="F607" s="409" t="s">
        <v>597</v>
      </c>
      <c r="G607" s="1662"/>
      <c r="H607" s="2828">
        <f>H608</f>
        <v>2133.8009999999999</v>
      </c>
      <c r="I607" s="2829"/>
      <c r="J607" s="2830"/>
      <c r="K607" s="2812"/>
      <c r="L607" s="2812"/>
      <c r="M607" s="2812"/>
      <c r="N607" s="2831">
        <f>N608</f>
        <v>1930.921</v>
      </c>
      <c r="O607" s="2812"/>
      <c r="P607" s="2812"/>
      <c r="Q607" s="2812"/>
      <c r="R607" s="2812"/>
      <c r="S607" s="2812"/>
      <c r="T607" s="2812"/>
      <c r="U607" s="2828">
        <f>U608</f>
        <v>2008.1569999999999</v>
      </c>
    </row>
    <row r="608" spans="1:21" ht="21" x14ac:dyDescent="0.25">
      <c r="A608" s="32"/>
      <c r="B608" s="753" t="s">
        <v>867</v>
      </c>
      <c r="C608" s="1183"/>
      <c r="D608" s="409" t="s">
        <v>456</v>
      </c>
      <c r="E608" s="409" t="s">
        <v>488</v>
      </c>
      <c r="F608" s="409" t="s">
        <v>593</v>
      </c>
      <c r="G608" s="1662"/>
      <c r="H608" s="2828">
        <f>H610</f>
        <v>2133.8009999999999</v>
      </c>
      <c r="I608" s="2829"/>
      <c r="J608" s="2830"/>
      <c r="K608" s="2812"/>
      <c r="L608" s="2812"/>
      <c r="M608" s="2812"/>
      <c r="N608" s="2831">
        <v>1930.921</v>
      </c>
      <c r="O608" s="2812"/>
      <c r="P608" s="2812"/>
      <c r="Q608" s="2812"/>
      <c r="R608" s="2812"/>
      <c r="S608" s="2812"/>
      <c r="T608" s="2812"/>
      <c r="U608" s="2828">
        <v>2008.1569999999999</v>
      </c>
    </row>
    <row r="609" spans="1:31" ht="39" x14ac:dyDescent="0.25">
      <c r="A609" s="32"/>
      <c r="B609" s="49" t="s">
        <v>1063</v>
      </c>
      <c r="C609" s="1183"/>
      <c r="D609" s="409" t="s">
        <v>456</v>
      </c>
      <c r="E609" s="409" t="s">
        <v>488</v>
      </c>
      <c r="F609" s="409" t="s">
        <v>593</v>
      </c>
      <c r="G609" s="1662" t="s">
        <v>1062</v>
      </c>
      <c r="H609" s="2828">
        <v>2133.8009999999999</v>
      </c>
      <c r="I609" s="2829">
        <f t="shared" ref="I609:U609" si="166">I610</f>
        <v>0</v>
      </c>
      <c r="J609" s="2830">
        <f t="shared" si="166"/>
        <v>0</v>
      </c>
      <c r="K609" s="2812">
        <f t="shared" si="166"/>
        <v>0</v>
      </c>
      <c r="L609" s="2812">
        <f t="shared" si="166"/>
        <v>0</v>
      </c>
      <c r="M609" s="2812">
        <f t="shared" si="166"/>
        <v>0</v>
      </c>
      <c r="N609" s="2831">
        <f t="shared" si="166"/>
        <v>1930.921</v>
      </c>
      <c r="O609" s="2812">
        <f t="shared" si="166"/>
        <v>0</v>
      </c>
      <c r="P609" s="2812">
        <f t="shared" si="166"/>
        <v>0</v>
      </c>
      <c r="Q609" s="2812">
        <f t="shared" si="166"/>
        <v>0</v>
      </c>
      <c r="R609" s="2812">
        <f t="shared" si="166"/>
        <v>0</v>
      </c>
      <c r="S609" s="2812">
        <f t="shared" si="166"/>
        <v>0</v>
      </c>
      <c r="T609" s="2812">
        <f t="shared" si="166"/>
        <v>0</v>
      </c>
      <c r="U609" s="2828">
        <f t="shared" si="166"/>
        <v>2008.1569999999999</v>
      </c>
    </row>
    <row r="610" spans="1:31" x14ac:dyDescent="0.25">
      <c r="A610" s="32"/>
      <c r="B610" s="1185" t="s">
        <v>571</v>
      </c>
      <c r="C610" s="1183"/>
      <c r="D610" s="409" t="s">
        <v>456</v>
      </c>
      <c r="E610" s="409" t="s">
        <v>488</v>
      </c>
      <c r="F610" s="409" t="s">
        <v>593</v>
      </c>
      <c r="G610" s="1662" t="s">
        <v>5</v>
      </c>
      <c r="H610" s="2828">
        <f>1856.647+277.154</f>
        <v>2133.8009999999999</v>
      </c>
      <c r="I610" s="2829"/>
      <c r="J610" s="2830"/>
      <c r="K610" s="2812"/>
      <c r="L610" s="2812"/>
      <c r="M610" s="2812"/>
      <c r="N610" s="2831">
        <v>1930.921</v>
      </c>
      <c r="O610" s="2812"/>
      <c r="P610" s="2812"/>
      <c r="Q610" s="2812"/>
      <c r="R610" s="2812"/>
      <c r="S610" s="2812"/>
      <c r="T610" s="2812"/>
      <c r="U610" s="2828">
        <v>2008.1569999999999</v>
      </c>
      <c r="AE610" s="2787"/>
    </row>
    <row r="611" spans="1:31" ht="34.5" x14ac:dyDescent="0.25">
      <c r="A611" s="32"/>
      <c r="B611" s="1184" t="s">
        <v>592</v>
      </c>
      <c r="C611" s="1177"/>
      <c r="D611" s="408" t="s">
        <v>456</v>
      </c>
      <c r="E611" s="408" t="s">
        <v>495</v>
      </c>
      <c r="F611" s="408"/>
      <c r="G611" s="1661"/>
      <c r="H611" s="2824">
        <f>H612</f>
        <v>1479.7240000000002</v>
      </c>
      <c r="I611" s="2825">
        <f>I612</f>
        <v>0</v>
      </c>
      <c r="J611" s="2826">
        <f>J612</f>
        <v>0</v>
      </c>
      <c r="K611" s="2812"/>
      <c r="L611" s="2812"/>
      <c r="M611" s="2812"/>
      <c r="N611" s="2827">
        <f>N612</f>
        <v>1840.19</v>
      </c>
      <c r="O611" s="2812"/>
      <c r="P611" s="2812"/>
      <c r="Q611" s="2812"/>
      <c r="R611" s="2812"/>
      <c r="S611" s="2812"/>
      <c r="T611" s="2812"/>
      <c r="U611" s="2824">
        <f>U612</f>
        <v>1927.616</v>
      </c>
    </row>
    <row r="612" spans="1:31" ht="21" x14ac:dyDescent="0.25">
      <c r="A612" s="32"/>
      <c r="B612" s="753" t="s">
        <v>588</v>
      </c>
      <c r="C612" s="1180"/>
      <c r="D612" s="409" t="s">
        <v>456</v>
      </c>
      <c r="E612" s="409" t="s">
        <v>495</v>
      </c>
      <c r="F612" s="409" t="s">
        <v>157</v>
      </c>
      <c r="G612" s="1662"/>
      <c r="H612" s="2828">
        <f>H613</f>
        <v>1479.7240000000002</v>
      </c>
      <c r="I612" s="2829">
        <f>I613+I625</f>
        <v>0</v>
      </c>
      <c r="J612" s="2830">
        <f>J613+J625</f>
        <v>0</v>
      </c>
      <c r="K612" s="2812"/>
      <c r="L612" s="2812"/>
      <c r="M612" s="2812"/>
      <c r="N612" s="2831">
        <f t="shared" ref="N612:U614" si="167">N613</f>
        <v>1840.19</v>
      </c>
      <c r="O612" s="2812">
        <f t="shared" si="167"/>
        <v>0</v>
      </c>
      <c r="P612" s="2812">
        <f t="shared" si="167"/>
        <v>0</v>
      </c>
      <c r="Q612" s="2812">
        <f t="shared" si="167"/>
        <v>0</v>
      </c>
      <c r="R612" s="2812">
        <f t="shared" si="167"/>
        <v>0</v>
      </c>
      <c r="S612" s="2812">
        <f t="shared" si="167"/>
        <v>0</v>
      </c>
      <c r="T612" s="2812">
        <f t="shared" si="167"/>
        <v>0</v>
      </c>
      <c r="U612" s="2828">
        <f t="shared" si="167"/>
        <v>1927.616</v>
      </c>
      <c r="AE612" s="2787"/>
    </row>
    <row r="613" spans="1:31" ht="21" x14ac:dyDescent="0.25">
      <c r="A613" s="32"/>
      <c r="B613" s="753" t="s">
        <v>591</v>
      </c>
      <c r="C613" s="1180"/>
      <c r="D613" s="409" t="s">
        <v>456</v>
      </c>
      <c r="E613" s="409" t="s">
        <v>495</v>
      </c>
      <c r="F613" s="409" t="s">
        <v>155</v>
      </c>
      <c r="G613" s="1662"/>
      <c r="H613" s="2828">
        <f t="shared" ref="H613:J614" si="168">H614</f>
        <v>1479.7240000000002</v>
      </c>
      <c r="I613" s="2829">
        <f t="shared" si="168"/>
        <v>0</v>
      </c>
      <c r="J613" s="2830">
        <f t="shared" si="168"/>
        <v>0</v>
      </c>
      <c r="K613" s="2812"/>
      <c r="L613" s="2812"/>
      <c r="M613" s="2812"/>
      <c r="N613" s="2831">
        <f t="shared" si="167"/>
        <v>1840.19</v>
      </c>
      <c r="O613" s="2812"/>
      <c r="P613" s="2812"/>
      <c r="Q613" s="2812"/>
      <c r="R613" s="2812"/>
      <c r="S613" s="2812"/>
      <c r="T613" s="2812"/>
      <c r="U613" s="2828">
        <f t="shared" si="167"/>
        <v>1927.616</v>
      </c>
    </row>
    <row r="614" spans="1:31" x14ac:dyDescent="0.25">
      <c r="A614" s="32"/>
      <c r="B614" s="753" t="s">
        <v>582</v>
      </c>
      <c r="C614" s="1180"/>
      <c r="D614" s="409" t="s">
        <v>456</v>
      </c>
      <c r="E614" s="409" t="s">
        <v>495</v>
      </c>
      <c r="F614" s="409" t="s">
        <v>154</v>
      </c>
      <c r="G614" s="1662"/>
      <c r="H614" s="2828">
        <f t="shared" si="168"/>
        <v>1479.7240000000002</v>
      </c>
      <c r="I614" s="2829">
        <f t="shared" si="168"/>
        <v>0</v>
      </c>
      <c r="J614" s="2830">
        <f t="shared" si="168"/>
        <v>0</v>
      </c>
      <c r="K614" s="2812"/>
      <c r="L614" s="2812"/>
      <c r="M614" s="2812"/>
      <c r="N614" s="2831">
        <f t="shared" si="167"/>
        <v>1840.19</v>
      </c>
      <c r="O614" s="2812"/>
      <c r="P614" s="2812"/>
      <c r="Q614" s="2812"/>
      <c r="R614" s="2812"/>
      <c r="S614" s="2812"/>
      <c r="T614" s="2812"/>
      <c r="U614" s="2828">
        <f t="shared" si="167"/>
        <v>1927.616</v>
      </c>
    </row>
    <row r="615" spans="1:31" x14ac:dyDescent="0.25">
      <c r="A615" s="32"/>
      <c r="B615" s="753" t="s">
        <v>153</v>
      </c>
      <c r="C615" s="1180"/>
      <c r="D615" s="409" t="s">
        <v>456</v>
      </c>
      <c r="E615" s="409" t="s">
        <v>495</v>
      </c>
      <c r="F615" s="409" t="s">
        <v>152</v>
      </c>
      <c r="G615" s="1662"/>
      <c r="H615" s="2828">
        <f>H616+H618+H621</f>
        <v>1479.7240000000002</v>
      </c>
      <c r="I615" s="2829">
        <f>I617+I619</f>
        <v>0</v>
      </c>
      <c r="J615" s="2830">
        <f>J617+J619</f>
        <v>0</v>
      </c>
      <c r="K615" s="2812"/>
      <c r="L615" s="2812"/>
      <c r="M615" s="2812"/>
      <c r="N615" s="2831">
        <f>N617+N619+N623</f>
        <v>1840.19</v>
      </c>
      <c r="O615" s="2812"/>
      <c r="P615" s="2812"/>
      <c r="Q615" s="2812"/>
      <c r="R615" s="2812"/>
      <c r="S615" s="2812"/>
      <c r="T615" s="2812"/>
      <c r="U615" s="2828">
        <f>U617+U619+U623</f>
        <v>1927.616</v>
      </c>
    </row>
    <row r="616" spans="1:31" ht="39" x14ac:dyDescent="0.25">
      <c r="A616" s="32"/>
      <c r="B616" s="49" t="s">
        <v>1063</v>
      </c>
      <c r="C616" s="1180"/>
      <c r="D616" s="409" t="s">
        <v>456</v>
      </c>
      <c r="E616" s="409" t="s">
        <v>495</v>
      </c>
      <c r="F616" s="409" t="s">
        <v>152</v>
      </c>
      <c r="G616" s="1662" t="s">
        <v>1062</v>
      </c>
      <c r="H616" s="2828">
        <f t="shared" ref="H616:U616" si="169">H617</f>
        <v>1163.2860000000001</v>
      </c>
      <c r="I616" s="2829">
        <f t="shared" si="169"/>
        <v>0</v>
      </c>
      <c r="J616" s="2836">
        <f t="shared" si="169"/>
        <v>0</v>
      </c>
      <c r="K616" s="2812">
        <f t="shared" si="169"/>
        <v>0</v>
      </c>
      <c r="L616" s="2812">
        <f t="shared" si="169"/>
        <v>0</v>
      </c>
      <c r="M616" s="2812">
        <f t="shared" si="169"/>
        <v>0</v>
      </c>
      <c r="N616" s="2831">
        <f t="shared" si="169"/>
        <v>1149.229</v>
      </c>
      <c r="O616" s="2812">
        <f t="shared" si="169"/>
        <v>0</v>
      </c>
      <c r="P616" s="2812">
        <f t="shared" si="169"/>
        <v>0</v>
      </c>
      <c r="Q616" s="2812">
        <f t="shared" si="169"/>
        <v>0</v>
      </c>
      <c r="R616" s="2812">
        <f t="shared" si="169"/>
        <v>0</v>
      </c>
      <c r="S616" s="2812">
        <f t="shared" si="169"/>
        <v>0</v>
      </c>
      <c r="T616" s="2812">
        <f t="shared" si="169"/>
        <v>0</v>
      </c>
      <c r="U616" s="2828">
        <f t="shared" si="169"/>
        <v>1195.1980000000001</v>
      </c>
    </row>
    <row r="617" spans="1:31" x14ac:dyDescent="0.25">
      <c r="A617" s="32"/>
      <c r="B617" s="1182" t="s">
        <v>571</v>
      </c>
      <c r="C617" s="1183"/>
      <c r="D617" s="409" t="s">
        <v>456</v>
      </c>
      <c r="E617" s="409" t="s">
        <v>495</v>
      </c>
      <c r="F617" s="409" t="s">
        <v>152</v>
      </c>
      <c r="G617" s="1662" t="s">
        <v>5</v>
      </c>
      <c r="H617" s="2828">
        <f>1105.028+58.258</f>
        <v>1163.2860000000001</v>
      </c>
      <c r="I617" s="2829"/>
      <c r="J617" s="2832"/>
      <c r="K617" s="2812"/>
      <c r="L617" s="2812"/>
      <c r="M617" s="2812"/>
      <c r="N617" s="2831">
        <v>1149.229</v>
      </c>
      <c r="O617" s="2812"/>
      <c r="P617" s="2812"/>
      <c r="Q617" s="2812"/>
      <c r="R617" s="2812"/>
      <c r="S617" s="2812"/>
      <c r="T617" s="2812"/>
      <c r="U617" s="2828">
        <v>1195.1980000000001</v>
      </c>
      <c r="AE617" s="2787"/>
    </row>
    <row r="618" spans="1:31" x14ac:dyDescent="0.25">
      <c r="A618" s="32"/>
      <c r="B618" s="1256" t="s">
        <v>921</v>
      </c>
      <c r="C618" s="1183"/>
      <c r="D618" s="409" t="s">
        <v>456</v>
      </c>
      <c r="E618" s="409" t="s">
        <v>495</v>
      </c>
      <c r="F618" s="409" t="s">
        <v>152</v>
      </c>
      <c r="G618" s="1662" t="s">
        <v>955</v>
      </c>
      <c r="H618" s="2828">
        <f t="shared" ref="H618:U618" si="170">H619</f>
        <v>315.43800000000005</v>
      </c>
      <c r="I618" s="2829">
        <f t="shared" si="170"/>
        <v>0</v>
      </c>
      <c r="J618" s="2832">
        <f t="shared" si="170"/>
        <v>0</v>
      </c>
      <c r="K618" s="2812">
        <f t="shared" si="170"/>
        <v>0</v>
      </c>
      <c r="L618" s="2812">
        <f t="shared" si="170"/>
        <v>0</v>
      </c>
      <c r="M618" s="2812">
        <f t="shared" si="170"/>
        <v>0</v>
      </c>
      <c r="N618" s="2831">
        <f t="shared" si="170"/>
        <v>689.96100000000001</v>
      </c>
      <c r="O618" s="2812">
        <f t="shared" si="170"/>
        <v>0</v>
      </c>
      <c r="P618" s="2812">
        <f t="shared" si="170"/>
        <v>0</v>
      </c>
      <c r="Q618" s="2812">
        <f t="shared" si="170"/>
        <v>0</v>
      </c>
      <c r="R618" s="2812">
        <f t="shared" si="170"/>
        <v>0</v>
      </c>
      <c r="S618" s="2812">
        <f t="shared" si="170"/>
        <v>0</v>
      </c>
      <c r="T618" s="2812">
        <f t="shared" si="170"/>
        <v>0</v>
      </c>
      <c r="U618" s="2828">
        <f t="shared" si="170"/>
        <v>731.41800000000001</v>
      </c>
    </row>
    <row r="619" spans="1:31" ht="21" x14ac:dyDescent="0.25">
      <c r="A619" s="32"/>
      <c r="B619" s="1182" t="s">
        <v>454</v>
      </c>
      <c r="C619" s="1183"/>
      <c r="D619" s="409" t="s">
        <v>456</v>
      </c>
      <c r="E619" s="409" t="s">
        <v>495</v>
      </c>
      <c r="F619" s="409" t="s">
        <v>152</v>
      </c>
      <c r="G619" s="1662" t="s">
        <v>1</v>
      </c>
      <c r="H619" s="2833">
        <f>650.85-335.412</f>
        <v>315.43800000000005</v>
      </c>
      <c r="I619" s="2829"/>
      <c r="J619" s="2832"/>
      <c r="K619" s="2834"/>
      <c r="L619" s="2812"/>
      <c r="M619" s="2812"/>
      <c r="N619" s="2835">
        <v>689.96100000000001</v>
      </c>
      <c r="O619" s="2812"/>
      <c r="P619" s="2812"/>
      <c r="Q619" s="2812"/>
      <c r="R619" s="2812"/>
      <c r="S619" s="2812"/>
      <c r="T619" s="2812"/>
      <c r="U619" s="2833">
        <v>731.41800000000001</v>
      </c>
      <c r="AE619" s="2787"/>
    </row>
    <row r="620" spans="1:31" hidden="1" x14ac:dyDescent="0.25">
      <c r="A620" s="1478"/>
      <c r="B620" s="1191" t="s">
        <v>1003</v>
      </c>
      <c r="C620" s="1192"/>
      <c r="D620" s="409" t="s">
        <v>456</v>
      </c>
      <c r="E620" s="409" t="s">
        <v>495</v>
      </c>
      <c r="F620" s="409" t="s">
        <v>152</v>
      </c>
      <c r="G620" s="1663" t="s">
        <v>95</v>
      </c>
      <c r="H620" s="2911"/>
      <c r="I620" s="2839"/>
      <c r="J620" s="2912"/>
      <c r="K620" s="2834"/>
      <c r="L620" s="2812"/>
      <c r="M620" s="2812"/>
      <c r="N620" s="2913"/>
      <c r="O620" s="2812"/>
      <c r="P620" s="2812"/>
      <c r="Q620" s="2812"/>
      <c r="R620" s="2812"/>
      <c r="S620" s="2812"/>
      <c r="T620" s="2812"/>
      <c r="U620" s="2911"/>
    </row>
    <row r="621" spans="1:31" x14ac:dyDescent="0.25">
      <c r="A621" s="1478"/>
      <c r="B621" s="1191" t="s">
        <v>1068</v>
      </c>
      <c r="C621" s="1192"/>
      <c r="D621" s="1193" t="s">
        <v>456</v>
      </c>
      <c r="E621" s="1193" t="s">
        <v>495</v>
      </c>
      <c r="F621" s="1193" t="s">
        <v>152</v>
      </c>
      <c r="G621" s="1663" t="s">
        <v>1064</v>
      </c>
      <c r="H621" s="2911">
        <f>H623+H622</f>
        <v>1</v>
      </c>
      <c r="I621" s="2839">
        <f t="shared" ref="I621:U621" si="171">I623</f>
        <v>0</v>
      </c>
      <c r="J621" s="2912">
        <f t="shared" si="171"/>
        <v>0</v>
      </c>
      <c r="K621" s="2834">
        <f t="shared" si="171"/>
        <v>5</v>
      </c>
      <c r="L621" s="2812">
        <f t="shared" si="171"/>
        <v>0</v>
      </c>
      <c r="M621" s="2812">
        <f t="shared" si="171"/>
        <v>0</v>
      </c>
      <c r="N621" s="2913">
        <f t="shared" si="171"/>
        <v>1</v>
      </c>
      <c r="O621" s="2812">
        <f t="shared" si="171"/>
        <v>0</v>
      </c>
      <c r="P621" s="2812">
        <f t="shared" si="171"/>
        <v>0</v>
      </c>
      <c r="Q621" s="2812">
        <f t="shared" si="171"/>
        <v>0</v>
      </c>
      <c r="R621" s="2812">
        <f t="shared" si="171"/>
        <v>0</v>
      </c>
      <c r="S621" s="2812">
        <f t="shared" si="171"/>
        <v>0</v>
      </c>
      <c r="T621" s="2812">
        <f t="shared" si="171"/>
        <v>0</v>
      </c>
      <c r="U621" s="2911">
        <f t="shared" si="171"/>
        <v>1</v>
      </c>
    </row>
    <row r="622" spans="1:31" ht="13" thickBot="1" x14ac:dyDescent="0.3">
      <c r="A622" s="1478"/>
      <c r="B622" s="1191" t="s">
        <v>1003</v>
      </c>
      <c r="C622" s="1192"/>
      <c r="D622" s="1193" t="s">
        <v>456</v>
      </c>
      <c r="E622" s="1193" t="s">
        <v>495</v>
      </c>
      <c r="F622" s="1261" t="s">
        <v>152</v>
      </c>
      <c r="G622" s="1663" t="s">
        <v>95</v>
      </c>
      <c r="H622" s="2911">
        <v>0.5</v>
      </c>
      <c r="I622" s="2839"/>
      <c r="J622" s="2912"/>
      <c r="K622" s="2834"/>
      <c r="L622" s="2812"/>
      <c r="M622" s="2812"/>
      <c r="N622" s="2913">
        <v>0</v>
      </c>
      <c r="O622" s="2812"/>
      <c r="P622" s="2812"/>
      <c r="Q622" s="2812"/>
      <c r="R622" s="2812"/>
      <c r="S622" s="2812"/>
      <c r="T622" s="2812"/>
      <c r="U622" s="2911">
        <v>0</v>
      </c>
    </row>
    <row r="623" spans="1:31" ht="12.75" customHeight="1" thickBot="1" x14ac:dyDescent="0.3">
      <c r="A623" s="26"/>
      <c r="B623" s="1259" t="s">
        <v>457</v>
      </c>
      <c r="C623" s="1260"/>
      <c r="D623" s="1261" t="s">
        <v>456</v>
      </c>
      <c r="E623" s="1261" t="s">
        <v>495</v>
      </c>
      <c r="F623" s="1261" t="s">
        <v>152</v>
      </c>
      <c r="G623" s="1672" t="s">
        <v>91</v>
      </c>
      <c r="H623" s="2914">
        <v>0.5</v>
      </c>
      <c r="I623" s="2915"/>
      <c r="J623" s="2916"/>
      <c r="K623" s="2917">
        <v>5</v>
      </c>
      <c r="L623" s="2918"/>
      <c r="M623" s="2918"/>
      <c r="N623" s="2919">
        <v>1</v>
      </c>
      <c r="O623" s="2918"/>
      <c r="P623" s="2918"/>
      <c r="Q623" s="2918"/>
      <c r="R623" s="2918"/>
      <c r="S623" s="2918"/>
      <c r="T623" s="2918"/>
      <c r="U623" s="2914">
        <v>1</v>
      </c>
    </row>
    <row r="624" spans="1:31" ht="24.75" hidden="1" customHeight="1" thickBot="1" x14ac:dyDescent="0.3">
      <c r="A624" s="1168">
        <v>3</v>
      </c>
      <c r="B624" s="2242" t="s">
        <v>1109</v>
      </c>
      <c r="C624" s="1161" t="s">
        <v>1108</v>
      </c>
      <c r="D624" s="1161"/>
      <c r="E624" s="1161"/>
      <c r="F624" s="1161"/>
      <c r="G624" s="1658"/>
      <c r="H624" s="2814">
        <f>H625+H719+H745+H794+H887+H897++H920+H938+H711+H963</f>
        <v>0</v>
      </c>
      <c r="I624" s="2815">
        <f>I625+I694+I720+I769+I843+I854+I893+I908+I686</f>
        <v>0</v>
      </c>
      <c r="J624" s="2818">
        <f>J625+J694+J720+J769+J843+J854+J893+J908+J686</f>
        <v>0</v>
      </c>
      <c r="K624" s="2910"/>
      <c r="L624" s="2910"/>
      <c r="M624" s="2910"/>
      <c r="N624" s="2817">
        <f>N625+N719+N745+N794+N887+N897++N920+N938+N711+N963</f>
        <v>0</v>
      </c>
      <c r="O624" s="2910"/>
      <c r="P624" s="2910"/>
      <c r="Q624" s="2910"/>
      <c r="R624" s="2910"/>
      <c r="S624" s="2910"/>
      <c r="T624" s="2910"/>
      <c r="U624" s="2814">
        <f>U625+U719+U745+U794+U887+U897++U920+U938+U711+U963</f>
        <v>0</v>
      </c>
    </row>
    <row r="625" spans="1:30" ht="19.5" hidden="1" customHeight="1" thickBot="1" x14ac:dyDescent="0.35">
      <c r="A625" s="2243"/>
      <c r="B625" s="2253" t="s">
        <v>431</v>
      </c>
      <c r="C625" s="2244"/>
      <c r="D625" s="1361" t="s">
        <v>456</v>
      </c>
      <c r="E625" s="1361" t="s">
        <v>459</v>
      </c>
      <c r="F625" s="1361"/>
      <c r="G625" s="1851"/>
      <c r="H625" s="2920">
        <f>H632+H633+H658+H676+H688+H694</f>
        <v>0</v>
      </c>
      <c r="I625" s="2921">
        <f>I626+I633+I650</f>
        <v>0</v>
      </c>
      <c r="J625" s="2922">
        <f>J626+J633+J650</f>
        <v>0</v>
      </c>
      <c r="K625" s="2923" t="e">
        <f>#REF!+K639+K641+K644+K663+K664+K665+K667+K669+K675+K681+K693+K697+K698+K699+K700</f>
        <v>#REF!</v>
      </c>
      <c r="L625" s="2924"/>
      <c r="M625" s="2924"/>
      <c r="N625" s="2920"/>
      <c r="O625" s="2924"/>
      <c r="P625" s="2924"/>
      <c r="Q625" s="2924"/>
      <c r="R625" s="2924"/>
      <c r="S625" s="2924"/>
      <c r="T625" s="2924"/>
      <c r="U625" s="2920"/>
    </row>
    <row r="626" spans="1:30" ht="25.5" hidden="1" customHeight="1" thickBot="1" x14ac:dyDescent="0.35">
      <c r="A626" s="2241"/>
      <c r="B626" s="2254" t="s">
        <v>1110</v>
      </c>
      <c r="C626" s="1177"/>
      <c r="D626" s="408" t="s">
        <v>456</v>
      </c>
      <c r="E626" s="408" t="s">
        <v>506</v>
      </c>
      <c r="F626" s="408"/>
      <c r="G626" s="1661"/>
      <c r="H626" s="2824">
        <f t="shared" ref="H626:J631" si="172">H627</f>
        <v>0</v>
      </c>
      <c r="I626" s="2825">
        <f t="shared" si="172"/>
        <v>0</v>
      </c>
      <c r="J626" s="2826">
        <f t="shared" si="172"/>
        <v>0</v>
      </c>
      <c r="K626" s="2855"/>
      <c r="L626" s="2855"/>
      <c r="M626" s="2855"/>
      <c r="N626" s="2824">
        <f t="shared" ref="N626:N631" si="173">N627</f>
        <v>0</v>
      </c>
      <c r="O626" s="2855"/>
      <c r="P626" s="2855"/>
      <c r="Q626" s="2855"/>
      <c r="R626" s="2855"/>
      <c r="S626" s="2855"/>
      <c r="T626" s="2855"/>
      <c r="U626" s="2824">
        <f t="shared" ref="U626:U631" si="174">U627</f>
        <v>0</v>
      </c>
    </row>
    <row r="627" spans="1:30" ht="21" hidden="1" customHeight="1" thickBot="1" x14ac:dyDescent="0.35">
      <c r="A627" s="2241"/>
      <c r="B627" s="2255" t="s">
        <v>1111</v>
      </c>
      <c r="C627" s="1177"/>
      <c r="D627" s="408" t="s">
        <v>456</v>
      </c>
      <c r="E627" s="408" t="s">
        <v>506</v>
      </c>
      <c r="F627" s="408" t="s">
        <v>89</v>
      </c>
      <c r="G627" s="1661"/>
      <c r="H627" s="2828">
        <f t="shared" si="172"/>
        <v>0</v>
      </c>
      <c r="I627" s="2825">
        <f t="shared" si="172"/>
        <v>0</v>
      </c>
      <c r="J627" s="2826">
        <f t="shared" si="172"/>
        <v>0</v>
      </c>
      <c r="K627" s="2855"/>
      <c r="L627" s="2855"/>
      <c r="M627" s="2855"/>
      <c r="N627" s="2828">
        <f t="shared" si="173"/>
        <v>0</v>
      </c>
      <c r="O627" s="2855"/>
      <c r="P627" s="2855"/>
      <c r="Q627" s="2855"/>
      <c r="R627" s="2855"/>
      <c r="S627" s="2855"/>
      <c r="T627" s="2855"/>
      <c r="U627" s="2828">
        <f t="shared" si="174"/>
        <v>0</v>
      </c>
    </row>
    <row r="628" spans="1:30" ht="20.25" hidden="1" customHeight="1" thickBot="1" x14ac:dyDescent="0.35">
      <c r="A628" s="2241"/>
      <c r="B628" s="2255" t="s">
        <v>582</v>
      </c>
      <c r="C628" s="1177"/>
      <c r="D628" s="408" t="s">
        <v>456</v>
      </c>
      <c r="E628" s="408" t="s">
        <v>506</v>
      </c>
      <c r="F628" s="408" t="s">
        <v>84</v>
      </c>
      <c r="G628" s="1661"/>
      <c r="H628" s="2828">
        <f t="shared" si="172"/>
        <v>0</v>
      </c>
      <c r="I628" s="2825">
        <f t="shared" si="172"/>
        <v>0</v>
      </c>
      <c r="J628" s="2826">
        <f t="shared" si="172"/>
        <v>0</v>
      </c>
      <c r="K628" s="2855"/>
      <c r="L628" s="2855"/>
      <c r="M628" s="2855"/>
      <c r="N628" s="2828">
        <f t="shared" si="173"/>
        <v>0</v>
      </c>
      <c r="O628" s="2855"/>
      <c r="P628" s="2855"/>
      <c r="Q628" s="2855"/>
      <c r="R628" s="2855"/>
      <c r="S628" s="2855"/>
      <c r="T628" s="2855"/>
      <c r="U628" s="2828">
        <f t="shared" si="174"/>
        <v>0</v>
      </c>
    </row>
    <row r="629" spans="1:30" ht="12.75" hidden="1" customHeight="1" thickBot="1" x14ac:dyDescent="0.35">
      <c r="A629" s="2241"/>
      <c r="B629" s="2255" t="s">
        <v>582</v>
      </c>
      <c r="C629" s="1177"/>
      <c r="D629" s="408" t="s">
        <v>595</v>
      </c>
      <c r="E629" s="408" t="s">
        <v>506</v>
      </c>
      <c r="F629" s="408" t="s">
        <v>82</v>
      </c>
      <c r="G629" s="1661"/>
      <c r="H629" s="2828">
        <f t="shared" si="172"/>
        <v>0</v>
      </c>
      <c r="I629" s="2825">
        <f t="shared" si="172"/>
        <v>0</v>
      </c>
      <c r="J629" s="2826">
        <f t="shared" si="172"/>
        <v>0</v>
      </c>
      <c r="K629" s="2855"/>
      <c r="L629" s="2855"/>
      <c r="M629" s="2855"/>
      <c r="N629" s="2828">
        <f t="shared" si="173"/>
        <v>0</v>
      </c>
      <c r="O629" s="2855"/>
      <c r="P629" s="2855"/>
      <c r="Q629" s="2855"/>
      <c r="R629" s="2855"/>
      <c r="S629" s="2855"/>
      <c r="T629" s="2855"/>
      <c r="U629" s="2828">
        <f t="shared" si="174"/>
        <v>0</v>
      </c>
    </row>
    <row r="630" spans="1:30" ht="19.5" hidden="1" customHeight="1" thickBot="1" x14ac:dyDescent="0.35">
      <c r="A630" s="2241"/>
      <c r="B630" s="2256" t="s">
        <v>1114</v>
      </c>
      <c r="C630" s="1177"/>
      <c r="D630" s="408" t="s">
        <v>595</v>
      </c>
      <c r="E630" s="408" t="s">
        <v>506</v>
      </c>
      <c r="F630" s="408" t="s">
        <v>1104</v>
      </c>
      <c r="G630" s="1661"/>
      <c r="H630" s="2828">
        <f t="shared" si="172"/>
        <v>0</v>
      </c>
      <c r="I630" s="2825">
        <f t="shared" si="172"/>
        <v>0</v>
      </c>
      <c r="J630" s="2826">
        <f t="shared" si="172"/>
        <v>0</v>
      </c>
      <c r="K630" s="2855"/>
      <c r="L630" s="2855"/>
      <c r="M630" s="2855"/>
      <c r="N630" s="2828">
        <f t="shared" si="173"/>
        <v>0</v>
      </c>
      <c r="O630" s="2855"/>
      <c r="P630" s="2855"/>
      <c r="Q630" s="2855"/>
      <c r="R630" s="2855"/>
      <c r="S630" s="2855"/>
      <c r="T630" s="2855"/>
      <c r="U630" s="2828">
        <f t="shared" si="174"/>
        <v>0</v>
      </c>
    </row>
    <row r="631" spans="1:30" ht="22.5" hidden="1" customHeight="1" thickBot="1" x14ac:dyDescent="0.35">
      <c r="A631" s="2241"/>
      <c r="B631" s="2257" t="s">
        <v>1065</v>
      </c>
      <c r="C631" s="1207"/>
      <c r="D631" s="408" t="s">
        <v>456</v>
      </c>
      <c r="E631" s="408" t="s">
        <v>506</v>
      </c>
      <c r="F631" s="408" t="s">
        <v>1104</v>
      </c>
      <c r="G631" s="1661" t="s">
        <v>1064</v>
      </c>
      <c r="H631" s="2828">
        <f t="shared" si="172"/>
        <v>0</v>
      </c>
      <c r="I631" s="2825"/>
      <c r="J631" s="2826"/>
      <c r="K631" s="2855"/>
      <c r="L631" s="2855"/>
      <c r="M631" s="2855"/>
      <c r="N631" s="2828">
        <f t="shared" si="173"/>
        <v>0</v>
      </c>
      <c r="O631" s="2855"/>
      <c r="P631" s="2855"/>
      <c r="Q631" s="2855"/>
      <c r="R631" s="2855"/>
      <c r="S631" s="2855"/>
      <c r="T631" s="2855"/>
      <c r="U631" s="3012">
        <f t="shared" si="174"/>
        <v>0</v>
      </c>
    </row>
    <row r="632" spans="1:30" ht="28.5" hidden="1" customHeight="1" thickBot="1" x14ac:dyDescent="0.35">
      <c r="A632" s="2245"/>
      <c r="B632" s="2258" t="s">
        <v>1112</v>
      </c>
      <c r="C632" s="2246"/>
      <c r="D632" s="2925" t="s">
        <v>456</v>
      </c>
      <c r="E632" s="2925" t="s">
        <v>506</v>
      </c>
      <c r="F632" s="2925" t="s">
        <v>1104</v>
      </c>
      <c r="G632" s="2926" t="s">
        <v>1113</v>
      </c>
      <c r="H632" s="2838">
        <v>0</v>
      </c>
      <c r="I632" s="2927"/>
      <c r="J632" s="2928"/>
      <c r="K632" s="2855" t="e">
        <f>#REF!+K639+K641+K644</f>
        <v>#REF!</v>
      </c>
      <c r="L632" s="2855" t="e">
        <f>K632-3579.885</f>
        <v>#REF!</v>
      </c>
      <c r="M632" s="2855"/>
      <c r="N632" s="2838">
        <v>0</v>
      </c>
      <c r="O632" s="2855"/>
      <c r="P632" s="2855"/>
      <c r="Q632" s="2855"/>
      <c r="R632" s="2855"/>
      <c r="S632" s="2855"/>
      <c r="T632" s="2855"/>
      <c r="U632" s="2838">
        <v>0</v>
      </c>
    </row>
    <row r="633" spans="1:30" ht="13.5" thickBot="1" x14ac:dyDescent="0.35">
      <c r="A633" s="2571"/>
      <c r="B633" s="2396" t="s">
        <v>1231</v>
      </c>
      <c r="C633" s="2387"/>
      <c r="D633" s="2388"/>
      <c r="E633" s="2388"/>
      <c r="F633" s="2388"/>
      <c r="G633" s="2388"/>
      <c r="H633" s="2929">
        <v>0</v>
      </c>
      <c r="I633" s="2930"/>
      <c r="J633" s="2931"/>
      <c r="K633" s="2931"/>
      <c r="L633" s="2931"/>
      <c r="M633" s="2932"/>
      <c r="N633" s="2933">
        <v>2938.2</v>
      </c>
      <c r="O633" s="2934"/>
      <c r="P633" s="2931"/>
      <c r="Q633" s="2931"/>
      <c r="R633" s="2931"/>
      <c r="S633" s="2931"/>
      <c r="T633" s="2931"/>
      <c r="U633" s="2935">
        <v>5648</v>
      </c>
    </row>
    <row r="634" spans="1:30" ht="13.5" thickBot="1" x14ac:dyDescent="0.3">
      <c r="A634" s="2571"/>
      <c r="B634" s="2389" t="s">
        <v>1205</v>
      </c>
      <c r="C634" s="2387"/>
      <c r="D634" s="2388"/>
      <c r="E634" s="2388"/>
      <c r="F634" s="2388"/>
      <c r="G634" s="2388"/>
      <c r="H634" s="2936">
        <f>H24+H633</f>
        <v>164590.70134000003</v>
      </c>
      <c r="I634" s="2937"/>
      <c r="J634" s="2938"/>
      <c r="K634" s="2938"/>
      <c r="L634" s="2938"/>
      <c r="M634" s="2939"/>
      <c r="N634" s="2940">
        <f>N24+N633</f>
        <v>112841.554</v>
      </c>
      <c r="O634" s="2941"/>
      <c r="P634" s="2938"/>
      <c r="Q634" s="2938"/>
      <c r="R634" s="2938"/>
      <c r="S634" s="2938"/>
      <c r="T634" s="2938"/>
      <c r="U634" s="2942">
        <f>U24+U633</f>
        <v>112966.156</v>
      </c>
      <c r="AD634" s="237"/>
    </row>
  </sheetData>
  <mergeCells count="10">
    <mergeCell ref="B18:H18"/>
    <mergeCell ref="A19:U19"/>
    <mergeCell ref="A20:U20"/>
    <mergeCell ref="A21:U21"/>
    <mergeCell ref="H1:U1"/>
    <mergeCell ref="H2:U2"/>
    <mergeCell ref="H3:U3"/>
    <mergeCell ref="H4:U4"/>
    <mergeCell ref="H5:U5"/>
    <mergeCell ref="H11:U11"/>
  </mergeCells>
  <pageMargins left="0.7" right="0.15748031496062992" top="0.31496062992125984" bottom="0.31496062992125984" header="0.23622047244094491" footer="0.15748031496062992"/>
  <pageSetup paperSize="9" scale="51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20" zoomScale="80" zoomScaleNormal="80" workbookViewId="0">
      <selection activeCell="H21" sqref="H21"/>
    </sheetView>
  </sheetViews>
  <sheetFormatPr defaultColWidth="8.81640625" defaultRowHeight="12.5" x14ac:dyDescent="0.25"/>
  <cols>
    <col min="1" max="1" width="2.81640625" style="2270" customWidth="1"/>
    <col min="2" max="2" width="6.1796875" style="2270" customWidth="1"/>
    <col min="3" max="3" width="70.26953125" style="2270" customWidth="1"/>
    <col min="4" max="4" width="6.453125" style="2270" customWidth="1"/>
    <col min="5" max="5" width="6.7265625" style="2270" customWidth="1"/>
    <col min="6" max="6" width="18.26953125" style="2270" customWidth="1"/>
    <col min="7" max="7" width="16.54296875" style="2270" customWidth="1"/>
    <col min="8" max="8" width="20" style="2270" customWidth="1"/>
    <col min="9" max="9" width="15.7265625" style="2270" customWidth="1"/>
    <col min="10" max="10" width="14.54296875" style="2270" customWidth="1"/>
    <col min="11" max="246" width="8.81640625" style="2270"/>
    <col min="247" max="247" width="40.1796875" style="2270" customWidth="1"/>
    <col min="248" max="248" width="37" style="2270" customWidth="1"/>
    <col min="249" max="249" width="17.453125" style="2270" customWidth="1"/>
    <col min="250" max="250" width="19.453125" style="2270" customWidth="1"/>
    <col min="251" max="251" width="0" style="2270" hidden="1" customWidth="1"/>
    <col min="252" max="252" width="21.7265625" style="2270" customWidth="1"/>
    <col min="253" max="253" width="71" style="2270" customWidth="1"/>
    <col min="254" max="255" width="0" style="2270" hidden="1" customWidth="1"/>
    <col min="256" max="256" width="13.7265625" style="2270" customWidth="1"/>
    <col min="257" max="502" width="8.81640625" style="2270"/>
    <col min="503" max="503" width="40.1796875" style="2270" customWidth="1"/>
    <col min="504" max="504" width="37" style="2270" customWidth="1"/>
    <col min="505" max="505" width="17.453125" style="2270" customWidth="1"/>
    <col min="506" max="506" width="19.453125" style="2270" customWidth="1"/>
    <col min="507" max="507" width="0" style="2270" hidden="1" customWidth="1"/>
    <col min="508" max="508" width="21.7265625" style="2270" customWidth="1"/>
    <col min="509" max="509" width="71" style="2270" customWidth="1"/>
    <col min="510" max="511" width="0" style="2270" hidden="1" customWidth="1"/>
    <col min="512" max="512" width="13.7265625" style="2270" customWidth="1"/>
    <col min="513" max="758" width="8.81640625" style="2270"/>
    <col min="759" max="759" width="40.1796875" style="2270" customWidth="1"/>
    <col min="760" max="760" width="37" style="2270" customWidth="1"/>
    <col min="761" max="761" width="17.453125" style="2270" customWidth="1"/>
    <col min="762" max="762" width="19.453125" style="2270" customWidth="1"/>
    <col min="763" max="763" width="0" style="2270" hidden="1" customWidth="1"/>
    <col min="764" max="764" width="21.7265625" style="2270" customWidth="1"/>
    <col min="765" max="765" width="71" style="2270" customWidth="1"/>
    <col min="766" max="767" width="0" style="2270" hidden="1" customWidth="1"/>
    <col min="768" max="768" width="13.7265625" style="2270" customWidth="1"/>
    <col min="769" max="1014" width="8.81640625" style="2270"/>
    <col min="1015" max="1015" width="40.1796875" style="2270" customWidth="1"/>
    <col min="1016" max="1016" width="37" style="2270" customWidth="1"/>
    <col min="1017" max="1017" width="17.453125" style="2270" customWidth="1"/>
    <col min="1018" max="1018" width="19.453125" style="2270" customWidth="1"/>
    <col min="1019" max="1019" width="0" style="2270" hidden="1" customWidth="1"/>
    <col min="1020" max="1020" width="21.7265625" style="2270" customWidth="1"/>
    <col min="1021" max="1021" width="71" style="2270" customWidth="1"/>
    <col min="1022" max="1023" width="0" style="2270" hidden="1" customWidth="1"/>
    <col min="1024" max="1024" width="13.7265625" style="2270" customWidth="1"/>
    <col min="1025" max="1270" width="8.81640625" style="2270"/>
    <col min="1271" max="1271" width="40.1796875" style="2270" customWidth="1"/>
    <col min="1272" max="1272" width="37" style="2270" customWidth="1"/>
    <col min="1273" max="1273" width="17.453125" style="2270" customWidth="1"/>
    <col min="1274" max="1274" width="19.453125" style="2270" customWidth="1"/>
    <col min="1275" max="1275" width="0" style="2270" hidden="1" customWidth="1"/>
    <col min="1276" max="1276" width="21.7265625" style="2270" customWidth="1"/>
    <col min="1277" max="1277" width="71" style="2270" customWidth="1"/>
    <col min="1278" max="1279" width="0" style="2270" hidden="1" customWidth="1"/>
    <col min="1280" max="1280" width="13.7265625" style="2270" customWidth="1"/>
    <col min="1281" max="1526" width="8.81640625" style="2270"/>
    <col min="1527" max="1527" width="40.1796875" style="2270" customWidth="1"/>
    <col min="1528" max="1528" width="37" style="2270" customWidth="1"/>
    <col min="1529" max="1529" width="17.453125" style="2270" customWidth="1"/>
    <col min="1530" max="1530" width="19.453125" style="2270" customWidth="1"/>
    <col min="1531" max="1531" width="0" style="2270" hidden="1" customWidth="1"/>
    <col min="1532" max="1532" width="21.7265625" style="2270" customWidth="1"/>
    <col min="1533" max="1533" width="71" style="2270" customWidth="1"/>
    <col min="1534" max="1535" width="0" style="2270" hidden="1" customWidth="1"/>
    <col min="1536" max="1536" width="13.7265625" style="2270" customWidth="1"/>
    <col min="1537" max="1782" width="8.81640625" style="2270"/>
    <col min="1783" max="1783" width="40.1796875" style="2270" customWidth="1"/>
    <col min="1784" max="1784" width="37" style="2270" customWidth="1"/>
    <col min="1785" max="1785" width="17.453125" style="2270" customWidth="1"/>
    <col min="1786" max="1786" width="19.453125" style="2270" customWidth="1"/>
    <col min="1787" max="1787" width="0" style="2270" hidden="1" customWidth="1"/>
    <col min="1788" max="1788" width="21.7265625" style="2270" customWidth="1"/>
    <col min="1789" max="1789" width="71" style="2270" customWidth="1"/>
    <col min="1790" max="1791" width="0" style="2270" hidden="1" customWidth="1"/>
    <col min="1792" max="1792" width="13.7265625" style="2270" customWidth="1"/>
    <col min="1793" max="2038" width="8.81640625" style="2270"/>
    <col min="2039" max="2039" width="40.1796875" style="2270" customWidth="1"/>
    <col min="2040" max="2040" width="37" style="2270" customWidth="1"/>
    <col min="2041" max="2041" width="17.453125" style="2270" customWidth="1"/>
    <col min="2042" max="2042" width="19.453125" style="2270" customWidth="1"/>
    <col min="2043" max="2043" width="0" style="2270" hidden="1" customWidth="1"/>
    <col min="2044" max="2044" width="21.7265625" style="2270" customWidth="1"/>
    <col min="2045" max="2045" width="71" style="2270" customWidth="1"/>
    <col min="2046" max="2047" width="0" style="2270" hidden="1" customWidth="1"/>
    <col min="2048" max="2048" width="13.7265625" style="2270" customWidth="1"/>
    <col min="2049" max="2294" width="8.81640625" style="2270"/>
    <col min="2295" max="2295" width="40.1796875" style="2270" customWidth="1"/>
    <col min="2296" max="2296" width="37" style="2270" customWidth="1"/>
    <col min="2297" max="2297" width="17.453125" style="2270" customWidth="1"/>
    <col min="2298" max="2298" width="19.453125" style="2270" customWidth="1"/>
    <col min="2299" max="2299" width="0" style="2270" hidden="1" customWidth="1"/>
    <col min="2300" max="2300" width="21.7265625" style="2270" customWidth="1"/>
    <col min="2301" max="2301" width="71" style="2270" customWidth="1"/>
    <col min="2302" max="2303" width="0" style="2270" hidden="1" customWidth="1"/>
    <col min="2304" max="2304" width="13.7265625" style="2270" customWidth="1"/>
    <col min="2305" max="2550" width="8.81640625" style="2270"/>
    <col min="2551" max="2551" width="40.1796875" style="2270" customWidth="1"/>
    <col min="2552" max="2552" width="37" style="2270" customWidth="1"/>
    <col min="2553" max="2553" width="17.453125" style="2270" customWidth="1"/>
    <col min="2554" max="2554" width="19.453125" style="2270" customWidth="1"/>
    <col min="2555" max="2555" width="0" style="2270" hidden="1" customWidth="1"/>
    <col min="2556" max="2556" width="21.7265625" style="2270" customWidth="1"/>
    <col min="2557" max="2557" width="71" style="2270" customWidth="1"/>
    <col min="2558" max="2559" width="0" style="2270" hidden="1" customWidth="1"/>
    <col min="2560" max="2560" width="13.7265625" style="2270" customWidth="1"/>
    <col min="2561" max="2806" width="8.81640625" style="2270"/>
    <col min="2807" max="2807" width="40.1796875" style="2270" customWidth="1"/>
    <col min="2808" max="2808" width="37" style="2270" customWidth="1"/>
    <col min="2809" max="2809" width="17.453125" style="2270" customWidth="1"/>
    <col min="2810" max="2810" width="19.453125" style="2270" customWidth="1"/>
    <col min="2811" max="2811" width="0" style="2270" hidden="1" customWidth="1"/>
    <col min="2812" max="2812" width="21.7265625" style="2270" customWidth="1"/>
    <col min="2813" max="2813" width="71" style="2270" customWidth="1"/>
    <col min="2814" max="2815" width="0" style="2270" hidden="1" customWidth="1"/>
    <col min="2816" max="2816" width="13.7265625" style="2270" customWidth="1"/>
    <col min="2817" max="3062" width="8.81640625" style="2270"/>
    <col min="3063" max="3063" width="40.1796875" style="2270" customWidth="1"/>
    <col min="3064" max="3064" width="37" style="2270" customWidth="1"/>
    <col min="3065" max="3065" width="17.453125" style="2270" customWidth="1"/>
    <col min="3066" max="3066" width="19.453125" style="2270" customWidth="1"/>
    <col min="3067" max="3067" width="0" style="2270" hidden="1" customWidth="1"/>
    <col min="3068" max="3068" width="21.7265625" style="2270" customWidth="1"/>
    <col min="3069" max="3069" width="71" style="2270" customWidth="1"/>
    <col min="3070" max="3071" width="0" style="2270" hidden="1" customWidth="1"/>
    <col min="3072" max="3072" width="13.7265625" style="2270" customWidth="1"/>
    <col min="3073" max="3318" width="8.81640625" style="2270"/>
    <col min="3319" max="3319" width="40.1796875" style="2270" customWidth="1"/>
    <col min="3320" max="3320" width="37" style="2270" customWidth="1"/>
    <col min="3321" max="3321" width="17.453125" style="2270" customWidth="1"/>
    <col min="3322" max="3322" width="19.453125" style="2270" customWidth="1"/>
    <col min="3323" max="3323" width="0" style="2270" hidden="1" customWidth="1"/>
    <col min="3324" max="3324" width="21.7265625" style="2270" customWidth="1"/>
    <col min="3325" max="3325" width="71" style="2270" customWidth="1"/>
    <col min="3326" max="3327" width="0" style="2270" hidden="1" customWidth="1"/>
    <col min="3328" max="3328" width="13.7265625" style="2270" customWidth="1"/>
    <col min="3329" max="3574" width="8.81640625" style="2270"/>
    <col min="3575" max="3575" width="40.1796875" style="2270" customWidth="1"/>
    <col min="3576" max="3576" width="37" style="2270" customWidth="1"/>
    <col min="3577" max="3577" width="17.453125" style="2270" customWidth="1"/>
    <col min="3578" max="3578" width="19.453125" style="2270" customWidth="1"/>
    <col min="3579" max="3579" width="0" style="2270" hidden="1" customWidth="1"/>
    <col min="3580" max="3580" width="21.7265625" style="2270" customWidth="1"/>
    <col min="3581" max="3581" width="71" style="2270" customWidth="1"/>
    <col min="3582" max="3583" width="0" style="2270" hidden="1" customWidth="1"/>
    <col min="3584" max="3584" width="13.7265625" style="2270" customWidth="1"/>
    <col min="3585" max="3830" width="8.81640625" style="2270"/>
    <col min="3831" max="3831" width="40.1796875" style="2270" customWidth="1"/>
    <col min="3832" max="3832" width="37" style="2270" customWidth="1"/>
    <col min="3833" max="3833" width="17.453125" style="2270" customWidth="1"/>
    <col min="3834" max="3834" width="19.453125" style="2270" customWidth="1"/>
    <col min="3835" max="3835" width="0" style="2270" hidden="1" customWidth="1"/>
    <col min="3836" max="3836" width="21.7265625" style="2270" customWidth="1"/>
    <col min="3837" max="3837" width="71" style="2270" customWidth="1"/>
    <col min="3838" max="3839" width="0" style="2270" hidden="1" customWidth="1"/>
    <col min="3840" max="3840" width="13.7265625" style="2270" customWidth="1"/>
    <col min="3841" max="4086" width="8.81640625" style="2270"/>
    <col min="4087" max="4087" width="40.1796875" style="2270" customWidth="1"/>
    <col min="4088" max="4088" width="37" style="2270" customWidth="1"/>
    <col min="4089" max="4089" width="17.453125" style="2270" customWidth="1"/>
    <col min="4090" max="4090" width="19.453125" style="2270" customWidth="1"/>
    <col min="4091" max="4091" width="0" style="2270" hidden="1" customWidth="1"/>
    <col min="4092" max="4092" width="21.7265625" style="2270" customWidth="1"/>
    <col min="4093" max="4093" width="71" style="2270" customWidth="1"/>
    <col min="4094" max="4095" width="0" style="2270" hidden="1" customWidth="1"/>
    <col min="4096" max="4096" width="13.7265625" style="2270" customWidth="1"/>
    <col min="4097" max="4342" width="8.81640625" style="2270"/>
    <col min="4343" max="4343" width="40.1796875" style="2270" customWidth="1"/>
    <col min="4344" max="4344" width="37" style="2270" customWidth="1"/>
    <col min="4345" max="4345" width="17.453125" style="2270" customWidth="1"/>
    <col min="4346" max="4346" width="19.453125" style="2270" customWidth="1"/>
    <col min="4347" max="4347" width="0" style="2270" hidden="1" customWidth="1"/>
    <col min="4348" max="4348" width="21.7265625" style="2270" customWidth="1"/>
    <col min="4349" max="4349" width="71" style="2270" customWidth="1"/>
    <col min="4350" max="4351" width="0" style="2270" hidden="1" customWidth="1"/>
    <col min="4352" max="4352" width="13.7265625" style="2270" customWidth="1"/>
    <col min="4353" max="4598" width="8.81640625" style="2270"/>
    <col min="4599" max="4599" width="40.1796875" style="2270" customWidth="1"/>
    <col min="4600" max="4600" width="37" style="2270" customWidth="1"/>
    <col min="4601" max="4601" width="17.453125" style="2270" customWidth="1"/>
    <col min="4602" max="4602" width="19.453125" style="2270" customWidth="1"/>
    <col min="4603" max="4603" width="0" style="2270" hidden="1" customWidth="1"/>
    <col min="4604" max="4604" width="21.7265625" style="2270" customWidth="1"/>
    <col min="4605" max="4605" width="71" style="2270" customWidth="1"/>
    <col min="4606" max="4607" width="0" style="2270" hidden="1" customWidth="1"/>
    <col min="4608" max="4608" width="13.7265625" style="2270" customWidth="1"/>
    <col min="4609" max="4854" width="8.81640625" style="2270"/>
    <col min="4855" max="4855" width="40.1796875" style="2270" customWidth="1"/>
    <col min="4856" max="4856" width="37" style="2270" customWidth="1"/>
    <col min="4857" max="4857" width="17.453125" style="2270" customWidth="1"/>
    <col min="4858" max="4858" width="19.453125" style="2270" customWidth="1"/>
    <col min="4859" max="4859" width="0" style="2270" hidden="1" customWidth="1"/>
    <col min="4860" max="4860" width="21.7265625" style="2270" customWidth="1"/>
    <col min="4861" max="4861" width="71" style="2270" customWidth="1"/>
    <col min="4862" max="4863" width="0" style="2270" hidden="1" customWidth="1"/>
    <col min="4864" max="4864" width="13.7265625" style="2270" customWidth="1"/>
    <col min="4865" max="5110" width="8.81640625" style="2270"/>
    <col min="5111" max="5111" width="40.1796875" style="2270" customWidth="1"/>
    <col min="5112" max="5112" width="37" style="2270" customWidth="1"/>
    <col min="5113" max="5113" width="17.453125" style="2270" customWidth="1"/>
    <col min="5114" max="5114" width="19.453125" style="2270" customWidth="1"/>
    <col min="5115" max="5115" width="0" style="2270" hidden="1" customWidth="1"/>
    <col min="5116" max="5116" width="21.7265625" style="2270" customWidth="1"/>
    <col min="5117" max="5117" width="71" style="2270" customWidth="1"/>
    <col min="5118" max="5119" width="0" style="2270" hidden="1" customWidth="1"/>
    <col min="5120" max="5120" width="13.7265625" style="2270" customWidth="1"/>
    <col min="5121" max="5366" width="8.81640625" style="2270"/>
    <col min="5367" max="5367" width="40.1796875" style="2270" customWidth="1"/>
    <col min="5368" max="5368" width="37" style="2270" customWidth="1"/>
    <col min="5369" max="5369" width="17.453125" style="2270" customWidth="1"/>
    <col min="5370" max="5370" width="19.453125" style="2270" customWidth="1"/>
    <col min="5371" max="5371" width="0" style="2270" hidden="1" customWidth="1"/>
    <col min="5372" max="5372" width="21.7265625" style="2270" customWidth="1"/>
    <col min="5373" max="5373" width="71" style="2270" customWidth="1"/>
    <col min="5374" max="5375" width="0" style="2270" hidden="1" customWidth="1"/>
    <col min="5376" max="5376" width="13.7265625" style="2270" customWidth="1"/>
    <col min="5377" max="5622" width="8.81640625" style="2270"/>
    <col min="5623" max="5623" width="40.1796875" style="2270" customWidth="1"/>
    <col min="5624" max="5624" width="37" style="2270" customWidth="1"/>
    <col min="5625" max="5625" width="17.453125" style="2270" customWidth="1"/>
    <col min="5626" max="5626" width="19.453125" style="2270" customWidth="1"/>
    <col min="5627" max="5627" width="0" style="2270" hidden="1" customWidth="1"/>
    <col min="5628" max="5628" width="21.7265625" style="2270" customWidth="1"/>
    <col min="5629" max="5629" width="71" style="2270" customWidth="1"/>
    <col min="5630" max="5631" width="0" style="2270" hidden="1" customWidth="1"/>
    <col min="5632" max="5632" width="13.7265625" style="2270" customWidth="1"/>
    <col min="5633" max="5878" width="8.81640625" style="2270"/>
    <col min="5879" max="5879" width="40.1796875" style="2270" customWidth="1"/>
    <col min="5880" max="5880" width="37" style="2270" customWidth="1"/>
    <col min="5881" max="5881" width="17.453125" style="2270" customWidth="1"/>
    <col min="5882" max="5882" width="19.453125" style="2270" customWidth="1"/>
    <col min="5883" max="5883" width="0" style="2270" hidden="1" customWidth="1"/>
    <col min="5884" max="5884" width="21.7265625" style="2270" customWidth="1"/>
    <col min="5885" max="5885" width="71" style="2270" customWidth="1"/>
    <col min="5886" max="5887" width="0" style="2270" hidden="1" customWidth="1"/>
    <col min="5888" max="5888" width="13.7265625" style="2270" customWidth="1"/>
    <col min="5889" max="6134" width="8.81640625" style="2270"/>
    <col min="6135" max="6135" width="40.1796875" style="2270" customWidth="1"/>
    <col min="6136" max="6136" width="37" style="2270" customWidth="1"/>
    <col min="6137" max="6137" width="17.453125" style="2270" customWidth="1"/>
    <col min="6138" max="6138" width="19.453125" style="2270" customWidth="1"/>
    <col min="6139" max="6139" width="0" style="2270" hidden="1" customWidth="1"/>
    <col min="6140" max="6140" width="21.7265625" style="2270" customWidth="1"/>
    <col min="6141" max="6141" width="71" style="2270" customWidth="1"/>
    <col min="6142" max="6143" width="0" style="2270" hidden="1" customWidth="1"/>
    <col min="6144" max="6144" width="13.7265625" style="2270" customWidth="1"/>
    <col min="6145" max="6390" width="8.81640625" style="2270"/>
    <col min="6391" max="6391" width="40.1796875" style="2270" customWidth="1"/>
    <col min="6392" max="6392" width="37" style="2270" customWidth="1"/>
    <col min="6393" max="6393" width="17.453125" style="2270" customWidth="1"/>
    <col min="6394" max="6394" width="19.453125" style="2270" customWidth="1"/>
    <col min="6395" max="6395" width="0" style="2270" hidden="1" customWidth="1"/>
    <col min="6396" max="6396" width="21.7265625" style="2270" customWidth="1"/>
    <col min="6397" max="6397" width="71" style="2270" customWidth="1"/>
    <col min="6398" max="6399" width="0" style="2270" hidden="1" customWidth="1"/>
    <col min="6400" max="6400" width="13.7265625" style="2270" customWidth="1"/>
    <col min="6401" max="6646" width="8.81640625" style="2270"/>
    <col min="6647" max="6647" width="40.1796875" style="2270" customWidth="1"/>
    <col min="6648" max="6648" width="37" style="2270" customWidth="1"/>
    <col min="6649" max="6649" width="17.453125" style="2270" customWidth="1"/>
    <col min="6650" max="6650" width="19.453125" style="2270" customWidth="1"/>
    <col min="6651" max="6651" width="0" style="2270" hidden="1" customWidth="1"/>
    <col min="6652" max="6652" width="21.7265625" style="2270" customWidth="1"/>
    <col min="6653" max="6653" width="71" style="2270" customWidth="1"/>
    <col min="6654" max="6655" width="0" style="2270" hidden="1" customWidth="1"/>
    <col min="6656" max="6656" width="13.7265625" style="2270" customWidth="1"/>
    <col min="6657" max="6902" width="8.81640625" style="2270"/>
    <col min="6903" max="6903" width="40.1796875" style="2270" customWidth="1"/>
    <col min="6904" max="6904" width="37" style="2270" customWidth="1"/>
    <col min="6905" max="6905" width="17.453125" style="2270" customWidth="1"/>
    <col min="6906" max="6906" width="19.453125" style="2270" customWidth="1"/>
    <col min="6907" max="6907" width="0" style="2270" hidden="1" customWidth="1"/>
    <col min="6908" max="6908" width="21.7265625" style="2270" customWidth="1"/>
    <col min="6909" max="6909" width="71" style="2270" customWidth="1"/>
    <col min="6910" max="6911" width="0" style="2270" hidden="1" customWidth="1"/>
    <col min="6912" max="6912" width="13.7265625" style="2270" customWidth="1"/>
    <col min="6913" max="7158" width="8.81640625" style="2270"/>
    <col min="7159" max="7159" width="40.1796875" style="2270" customWidth="1"/>
    <col min="7160" max="7160" width="37" style="2270" customWidth="1"/>
    <col min="7161" max="7161" width="17.453125" style="2270" customWidth="1"/>
    <col min="7162" max="7162" width="19.453125" style="2270" customWidth="1"/>
    <col min="7163" max="7163" width="0" style="2270" hidden="1" customWidth="1"/>
    <col min="7164" max="7164" width="21.7265625" style="2270" customWidth="1"/>
    <col min="7165" max="7165" width="71" style="2270" customWidth="1"/>
    <col min="7166" max="7167" width="0" style="2270" hidden="1" customWidth="1"/>
    <col min="7168" max="7168" width="13.7265625" style="2270" customWidth="1"/>
    <col min="7169" max="7414" width="8.81640625" style="2270"/>
    <col min="7415" max="7415" width="40.1796875" style="2270" customWidth="1"/>
    <col min="7416" max="7416" width="37" style="2270" customWidth="1"/>
    <col min="7417" max="7417" width="17.453125" style="2270" customWidth="1"/>
    <col min="7418" max="7418" width="19.453125" style="2270" customWidth="1"/>
    <col min="7419" max="7419" width="0" style="2270" hidden="1" customWidth="1"/>
    <col min="7420" max="7420" width="21.7265625" style="2270" customWidth="1"/>
    <col min="7421" max="7421" width="71" style="2270" customWidth="1"/>
    <col min="7422" max="7423" width="0" style="2270" hidden="1" customWidth="1"/>
    <col min="7424" max="7424" width="13.7265625" style="2270" customWidth="1"/>
    <col min="7425" max="7670" width="8.81640625" style="2270"/>
    <col min="7671" max="7671" width="40.1796875" style="2270" customWidth="1"/>
    <col min="7672" max="7672" width="37" style="2270" customWidth="1"/>
    <col min="7673" max="7673" width="17.453125" style="2270" customWidth="1"/>
    <col min="7674" max="7674" width="19.453125" style="2270" customWidth="1"/>
    <col min="7675" max="7675" width="0" style="2270" hidden="1" customWidth="1"/>
    <col min="7676" max="7676" width="21.7265625" style="2270" customWidth="1"/>
    <col min="7677" max="7677" width="71" style="2270" customWidth="1"/>
    <col min="7678" max="7679" width="0" style="2270" hidden="1" customWidth="1"/>
    <col min="7680" max="7680" width="13.7265625" style="2270" customWidth="1"/>
    <col min="7681" max="7926" width="8.81640625" style="2270"/>
    <col min="7927" max="7927" width="40.1796875" style="2270" customWidth="1"/>
    <col min="7928" max="7928" width="37" style="2270" customWidth="1"/>
    <col min="7929" max="7929" width="17.453125" style="2270" customWidth="1"/>
    <col min="7930" max="7930" width="19.453125" style="2270" customWidth="1"/>
    <col min="7931" max="7931" width="0" style="2270" hidden="1" customWidth="1"/>
    <col min="7932" max="7932" width="21.7265625" style="2270" customWidth="1"/>
    <col min="7933" max="7933" width="71" style="2270" customWidth="1"/>
    <col min="7934" max="7935" width="0" style="2270" hidden="1" customWidth="1"/>
    <col min="7936" max="7936" width="13.7265625" style="2270" customWidth="1"/>
    <col min="7937" max="8182" width="8.81640625" style="2270"/>
    <col min="8183" max="8183" width="40.1796875" style="2270" customWidth="1"/>
    <col min="8184" max="8184" width="37" style="2270" customWidth="1"/>
    <col min="8185" max="8185" width="17.453125" style="2270" customWidth="1"/>
    <col min="8186" max="8186" width="19.453125" style="2270" customWidth="1"/>
    <col min="8187" max="8187" width="0" style="2270" hidden="1" customWidth="1"/>
    <col min="8188" max="8188" width="21.7265625" style="2270" customWidth="1"/>
    <col min="8189" max="8189" width="71" style="2270" customWidth="1"/>
    <col min="8190" max="8191" width="0" style="2270" hidden="1" customWidth="1"/>
    <col min="8192" max="8192" width="13.7265625" style="2270" customWidth="1"/>
    <col min="8193" max="8438" width="8.81640625" style="2270"/>
    <col min="8439" max="8439" width="40.1796875" style="2270" customWidth="1"/>
    <col min="8440" max="8440" width="37" style="2270" customWidth="1"/>
    <col min="8441" max="8441" width="17.453125" style="2270" customWidth="1"/>
    <col min="8442" max="8442" width="19.453125" style="2270" customWidth="1"/>
    <col min="8443" max="8443" width="0" style="2270" hidden="1" customWidth="1"/>
    <col min="8444" max="8444" width="21.7265625" style="2270" customWidth="1"/>
    <col min="8445" max="8445" width="71" style="2270" customWidth="1"/>
    <col min="8446" max="8447" width="0" style="2270" hidden="1" customWidth="1"/>
    <col min="8448" max="8448" width="13.7265625" style="2270" customWidth="1"/>
    <col min="8449" max="8694" width="8.81640625" style="2270"/>
    <col min="8695" max="8695" width="40.1796875" style="2270" customWidth="1"/>
    <col min="8696" max="8696" width="37" style="2270" customWidth="1"/>
    <col min="8697" max="8697" width="17.453125" style="2270" customWidth="1"/>
    <col min="8698" max="8698" width="19.453125" style="2270" customWidth="1"/>
    <col min="8699" max="8699" width="0" style="2270" hidden="1" customWidth="1"/>
    <col min="8700" max="8700" width="21.7265625" style="2270" customWidth="1"/>
    <col min="8701" max="8701" width="71" style="2270" customWidth="1"/>
    <col min="8702" max="8703" width="0" style="2270" hidden="1" customWidth="1"/>
    <col min="8704" max="8704" width="13.7265625" style="2270" customWidth="1"/>
    <col min="8705" max="8950" width="8.81640625" style="2270"/>
    <col min="8951" max="8951" width="40.1796875" style="2270" customWidth="1"/>
    <col min="8952" max="8952" width="37" style="2270" customWidth="1"/>
    <col min="8953" max="8953" width="17.453125" style="2270" customWidth="1"/>
    <col min="8954" max="8954" width="19.453125" style="2270" customWidth="1"/>
    <col min="8955" max="8955" width="0" style="2270" hidden="1" customWidth="1"/>
    <col min="8956" max="8956" width="21.7265625" style="2270" customWidth="1"/>
    <col min="8957" max="8957" width="71" style="2270" customWidth="1"/>
    <col min="8958" max="8959" width="0" style="2270" hidden="1" customWidth="1"/>
    <col min="8960" max="8960" width="13.7265625" style="2270" customWidth="1"/>
    <col min="8961" max="9206" width="8.81640625" style="2270"/>
    <col min="9207" max="9207" width="40.1796875" style="2270" customWidth="1"/>
    <col min="9208" max="9208" width="37" style="2270" customWidth="1"/>
    <col min="9209" max="9209" width="17.453125" style="2270" customWidth="1"/>
    <col min="9210" max="9210" width="19.453125" style="2270" customWidth="1"/>
    <col min="9211" max="9211" width="0" style="2270" hidden="1" customWidth="1"/>
    <col min="9212" max="9212" width="21.7265625" style="2270" customWidth="1"/>
    <col min="9213" max="9213" width="71" style="2270" customWidth="1"/>
    <col min="9214" max="9215" width="0" style="2270" hidden="1" customWidth="1"/>
    <col min="9216" max="9216" width="13.7265625" style="2270" customWidth="1"/>
    <col min="9217" max="9462" width="8.81640625" style="2270"/>
    <col min="9463" max="9463" width="40.1796875" style="2270" customWidth="1"/>
    <col min="9464" max="9464" width="37" style="2270" customWidth="1"/>
    <col min="9465" max="9465" width="17.453125" style="2270" customWidth="1"/>
    <col min="9466" max="9466" width="19.453125" style="2270" customWidth="1"/>
    <col min="9467" max="9467" width="0" style="2270" hidden="1" customWidth="1"/>
    <col min="9468" max="9468" width="21.7265625" style="2270" customWidth="1"/>
    <col min="9469" max="9469" width="71" style="2270" customWidth="1"/>
    <col min="9470" max="9471" width="0" style="2270" hidden="1" customWidth="1"/>
    <col min="9472" max="9472" width="13.7265625" style="2270" customWidth="1"/>
    <col min="9473" max="9718" width="8.81640625" style="2270"/>
    <col min="9719" max="9719" width="40.1796875" style="2270" customWidth="1"/>
    <col min="9720" max="9720" width="37" style="2270" customWidth="1"/>
    <col min="9721" max="9721" width="17.453125" style="2270" customWidth="1"/>
    <col min="9722" max="9722" width="19.453125" style="2270" customWidth="1"/>
    <col min="9723" max="9723" width="0" style="2270" hidden="1" customWidth="1"/>
    <col min="9724" max="9724" width="21.7265625" style="2270" customWidth="1"/>
    <col min="9725" max="9725" width="71" style="2270" customWidth="1"/>
    <col min="9726" max="9727" width="0" style="2270" hidden="1" customWidth="1"/>
    <col min="9728" max="9728" width="13.7265625" style="2270" customWidth="1"/>
    <col min="9729" max="9974" width="8.81640625" style="2270"/>
    <col min="9975" max="9975" width="40.1796875" style="2270" customWidth="1"/>
    <col min="9976" max="9976" width="37" style="2270" customWidth="1"/>
    <col min="9977" max="9977" width="17.453125" style="2270" customWidth="1"/>
    <col min="9978" max="9978" width="19.453125" style="2270" customWidth="1"/>
    <col min="9979" max="9979" width="0" style="2270" hidden="1" customWidth="1"/>
    <col min="9980" max="9980" width="21.7265625" style="2270" customWidth="1"/>
    <col min="9981" max="9981" width="71" style="2270" customWidth="1"/>
    <col min="9982" max="9983" width="0" style="2270" hidden="1" customWidth="1"/>
    <col min="9984" max="9984" width="13.7265625" style="2270" customWidth="1"/>
    <col min="9985" max="10230" width="8.81640625" style="2270"/>
    <col min="10231" max="10231" width="40.1796875" style="2270" customWidth="1"/>
    <col min="10232" max="10232" width="37" style="2270" customWidth="1"/>
    <col min="10233" max="10233" width="17.453125" style="2270" customWidth="1"/>
    <col min="10234" max="10234" width="19.453125" style="2270" customWidth="1"/>
    <col min="10235" max="10235" width="0" style="2270" hidden="1" customWidth="1"/>
    <col min="10236" max="10236" width="21.7265625" style="2270" customWidth="1"/>
    <col min="10237" max="10237" width="71" style="2270" customWidth="1"/>
    <col min="10238" max="10239" width="0" style="2270" hidden="1" customWidth="1"/>
    <col min="10240" max="10240" width="13.7265625" style="2270" customWidth="1"/>
    <col min="10241" max="10486" width="8.81640625" style="2270"/>
    <col min="10487" max="10487" width="40.1796875" style="2270" customWidth="1"/>
    <col min="10488" max="10488" width="37" style="2270" customWidth="1"/>
    <col min="10489" max="10489" width="17.453125" style="2270" customWidth="1"/>
    <col min="10490" max="10490" width="19.453125" style="2270" customWidth="1"/>
    <col min="10491" max="10491" width="0" style="2270" hidden="1" customWidth="1"/>
    <col min="10492" max="10492" width="21.7265625" style="2270" customWidth="1"/>
    <col min="10493" max="10493" width="71" style="2270" customWidth="1"/>
    <col min="10494" max="10495" width="0" style="2270" hidden="1" customWidth="1"/>
    <col min="10496" max="10496" width="13.7265625" style="2270" customWidth="1"/>
    <col min="10497" max="10742" width="8.81640625" style="2270"/>
    <col min="10743" max="10743" width="40.1796875" style="2270" customWidth="1"/>
    <col min="10744" max="10744" width="37" style="2270" customWidth="1"/>
    <col min="10745" max="10745" width="17.453125" style="2270" customWidth="1"/>
    <col min="10746" max="10746" width="19.453125" style="2270" customWidth="1"/>
    <col min="10747" max="10747" width="0" style="2270" hidden="1" customWidth="1"/>
    <col min="10748" max="10748" width="21.7265625" style="2270" customWidth="1"/>
    <col min="10749" max="10749" width="71" style="2270" customWidth="1"/>
    <col min="10750" max="10751" width="0" style="2270" hidden="1" customWidth="1"/>
    <col min="10752" max="10752" width="13.7265625" style="2270" customWidth="1"/>
    <col min="10753" max="10998" width="8.81640625" style="2270"/>
    <col min="10999" max="10999" width="40.1796875" style="2270" customWidth="1"/>
    <col min="11000" max="11000" width="37" style="2270" customWidth="1"/>
    <col min="11001" max="11001" width="17.453125" style="2270" customWidth="1"/>
    <col min="11002" max="11002" width="19.453125" style="2270" customWidth="1"/>
    <col min="11003" max="11003" width="0" style="2270" hidden="1" customWidth="1"/>
    <col min="11004" max="11004" width="21.7265625" style="2270" customWidth="1"/>
    <col min="11005" max="11005" width="71" style="2270" customWidth="1"/>
    <col min="11006" max="11007" width="0" style="2270" hidden="1" customWidth="1"/>
    <col min="11008" max="11008" width="13.7265625" style="2270" customWidth="1"/>
    <col min="11009" max="11254" width="8.81640625" style="2270"/>
    <col min="11255" max="11255" width="40.1796875" style="2270" customWidth="1"/>
    <col min="11256" max="11256" width="37" style="2270" customWidth="1"/>
    <col min="11257" max="11257" width="17.453125" style="2270" customWidth="1"/>
    <col min="11258" max="11258" width="19.453125" style="2270" customWidth="1"/>
    <col min="11259" max="11259" width="0" style="2270" hidden="1" customWidth="1"/>
    <col min="11260" max="11260" width="21.7265625" style="2270" customWidth="1"/>
    <col min="11261" max="11261" width="71" style="2270" customWidth="1"/>
    <col min="11262" max="11263" width="0" style="2270" hidden="1" customWidth="1"/>
    <col min="11264" max="11264" width="13.7265625" style="2270" customWidth="1"/>
    <col min="11265" max="11510" width="8.81640625" style="2270"/>
    <col min="11511" max="11511" width="40.1796875" style="2270" customWidth="1"/>
    <col min="11512" max="11512" width="37" style="2270" customWidth="1"/>
    <col min="11513" max="11513" width="17.453125" style="2270" customWidth="1"/>
    <col min="11514" max="11514" width="19.453125" style="2270" customWidth="1"/>
    <col min="11515" max="11515" width="0" style="2270" hidden="1" customWidth="1"/>
    <col min="11516" max="11516" width="21.7265625" style="2270" customWidth="1"/>
    <col min="11517" max="11517" width="71" style="2270" customWidth="1"/>
    <col min="11518" max="11519" width="0" style="2270" hidden="1" customWidth="1"/>
    <col min="11520" max="11520" width="13.7265625" style="2270" customWidth="1"/>
    <col min="11521" max="11766" width="8.81640625" style="2270"/>
    <col min="11767" max="11767" width="40.1796875" style="2270" customWidth="1"/>
    <col min="11768" max="11768" width="37" style="2270" customWidth="1"/>
    <col min="11769" max="11769" width="17.453125" style="2270" customWidth="1"/>
    <col min="11770" max="11770" width="19.453125" style="2270" customWidth="1"/>
    <col min="11771" max="11771" width="0" style="2270" hidden="1" customWidth="1"/>
    <col min="11772" max="11772" width="21.7265625" style="2270" customWidth="1"/>
    <col min="11773" max="11773" width="71" style="2270" customWidth="1"/>
    <col min="11774" max="11775" width="0" style="2270" hidden="1" customWidth="1"/>
    <col min="11776" max="11776" width="13.7265625" style="2270" customWidth="1"/>
    <col min="11777" max="12022" width="8.81640625" style="2270"/>
    <col min="12023" max="12023" width="40.1796875" style="2270" customWidth="1"/>
    <col min="12024" max="12024" width="37" style="2270" customWidth="1"/>
    <col min="12025" max="12025" width="17.453125" style="2270" customWidth="1"/>
    <col min="12026" max="12026" width="19.453125" style="2270" customWidth="1"/>
    <col min="12027" max="12027" width="0" style="2270" hidden="1" customWidth="1"/>
    <col min="12028" max="12028" width="21.7265625" style="2270" customWidth="1"/>
    <col min="12029" max="12029" width="71" style="2270" customWidth="1"/>
    <col min="12030" max="12031" width="0" style="2270" hidden="1" customWidth="1"/>
    <col min="12032" max="12032" width="13.7265625" style="2270" customWidth="1"/>
    <col min="12033" max="12278" width="8.81640625" style="2270"/>
    <col min="12279" max="12279" width="40.1796875" style="2270" customWidth="1"/>
    <col min="12280" max="12280" width="37" style="2270" customWidth="1"/>
    <col min="12281" max="12281" width="17.453125" style="2270" customWidth="1"/>
    <col min="12282" max="12282" width="19.453125" style="2270" customWidth="1"/>
    <col min="12283" max="12283" width="0" style="2270" hidden="1" customWidth="1"/>
    <col min="12284" max="12284" width="21.7265625" style="2270" customWidth="1"/>
    <col min="12285" max="12285" width="71" style="2270" customWidth="1"/>
    <col min="12286" max="12287" width="0" style="2270" hidden="1" customWidth="1"/>
    <col min="12288" max="12288" width="13.7265625" style="2270" customWidth="1"/>
    <col min="12289" max="12534" width="8.81640625" style="2270"/>
    <col min="12535" max="12535" width="40.1796875" style="2270" customWidth="1"/>
    <col min="12536" max="12536" width="37" style="2270" customWidth="1"/>
    <col min="12537" max="12537" width="17.453125" style="2270" customWidth="1"/>
    <col min="12538" max="12538" width="19.453125" style="2270" customWidth="1"/>
    <col min="12539" max="12539" width="0" style="2270" hidden="1" customWidth="1"/>
    <col min="12540" max="12540" width="21.7265625" style="2270" customWidth="1"/>
    <col min="12541" max="12541" width="71" style="2270" customWidth="1"/>
    <col min="12542" max="12543" width="0" style="2270" hidden="1" customWidth="1"/>
    <col min="12544" max="12544" width="13.7265625" style="2270" customWidth="1"/>
    <col min="12545" max="12790" width="8.81640625" style="2270"/>
    <col min="12791" max="12791" width="40.1796875" style="2270" customWidth="1"/>
    <col min="12792" max="12792" width="37" style="2270" customWidth="1"/>
    <col min="12793" max="12793" width="17.453125" style="2270" customWidth="1"/>
    <col min="12794" max="12794" width="19.453125" style="2270" customWidth="1"/>
    <col min="12795" max="12795" width="0" style="2270" hidden="1" customWidth="1"/>
    <col min="12796" max="12796" width="21.7265625" style="2270" customWidth="1"/>
    <col min="12797" max="12797" width="71" style="2270" customWidth="1"/>
    <col min="12798" max="12799" width="0" style="2270" hidden="1" customWidth="1"/>
    <col min="12800" max="12800" width="13.7265625" style="2270" customWidth="1"/>
    <col min="12801" max="13046" width="8.81640625" style="2270"/>
    <col min="13047" max="13047" width="40.1796875" style="2270" customWidth="1"/>
    <col min="13048" max="13048" width="37" style="2270" customWidth="1"/>
    <col min="13049" max="13049" width="17.453125" style="2270" customWidth="1"/>
    <col min="13050" max="13050" width="19.453125" style="2270" customWidth="1"/>
    <col min="13051" max="13051" width="0" style="2270" hidden="1" customWidth="1"/>
    <col min="13052" max="13052" width="21.7265625" style="2270" customWidth="1"/>
    <col min="13053" max="13053" width="71" style="2270" customWidth="1"/>
    <col min="13054" max="13055" width="0" style="2270" hidden="1" customWidth="1"/>
    <col min="13056" max="13056" width="13.7265625" style="2270" customWidth="1"/>
    <col min="13057" max="13302" width="8.81640625" style="2270"/>
    <col min="13303" max="13303" width="40.1796875" style="2270" customWidth="1"/>
    <col min="13304" max="13304" width="37" style="2270" customWidth="1"/>
    <col min="13305" max="13305" width="17.453125" style="2270" customWidth="1"/>
    <col min="13306" max="13306" width="19.453125" style="2270" customWidth="1"/>
    <col min="13307" max="13307" width="0" style="2270" hidden="1" customWidth="1"/>
    <col min="13308" max="13308" width="21.7265625" style="2270" customWidth="1"/>
    <col min="13309" max="13309" width="71" style="2270" customWidth="1"/>
    <col min="13310" max="13311" width="0" style="2270" hidden="1" customWidth="1"/>
    <col min="13312" max="13312" width="13.7265625" style="2270" customWidth="1"/>
    <col min="13313" max="13558" width="8.81640625" style="2270"/>
    <col min="13559" max="13559" width="40.1796875" style="2270" customWidth="1"/>
    <col min="13560" max="13560" width="37" style="2270" customWidth="1"/>
    <col min="13561" max="13561" width="17.453125" style="2270" customWidth="1"/>
    <col min="13562" max="13562" width="19.453125" style="2270" customWidth="1"/>
    <col min="13563" max="13563" width="0" style="2270" hidden="1" customWidth="1"/>
    <col min="13564" max="13564" width="21.7265625" style="2270" customWidth="1"/>
    <col min="13565" max="13565" width="71" style="2270" customWidth="1"/>
    <col min="13566" max="13567" width="0" style="2270" hidden="1" customWidth="1"/>
    <col min="13568" max="13568" width="13.7265625" style="2270" customWidth="1"/>
    <col min="13569" max="13814" width="8.81640625" style="2270"/>
    <col min="13815" max="13815" width="40.1796875" style="2270" customWidth="1"/>
    <col min="13816" max="13816" width="37" style="2270" customWidth="1"/>
    <col min="13817" max="13817" width="17.453125" style="2270" customWidth="1"/>
    <col min="13818" max="13818" width="19.453125" style="2270" customWidth="1"/>
    <col min="13819" max="13819" width="0" style="2270" hidden="1" customWidth="1"/>
    <col min="13820" max="13820" width="21.7265625" style="2270" customWidth="1"/>
    <col min="13821" max="13821" width="71" style="2270" customWidth="1"/>
    <col min="13822" max="13823" width="0" style="2270" hidden="1" customWidth="1"/>
    <col min="13824" max="13824" width="13.7265625" style="2270" customWidth="1"/>
    <col min="13825" max="14070" width="8.81640625" style="2270"/>
    <col min="14071" max="14071" width="40.1796875" style="2270" customWidth="1"/>
    <col min="14072" max="14072" width="37" style="2270" customWidth="1"/>
    <col min="14073" max="14073" width="17.453125" style="2270" customWidth="1"/>
    <col min="14074" max="14074" width="19.453125" style="2270" customWidth="1"/>
    <col min="14075" max="14075" width="0" style="2270" hidden="1" customWidth="1"/>
    <col min="14076" max="14076" width="21.7265625" style="2270" customWidth="1"/>
    <col min="14077" max="14077" width="71" style="2270" customWidth="1"/>
    <col min="14078" max="14079" width="0" style="2270" hidden="1" customWidth="1"/>
    <col min="14080" max="14080" width="13.7265625" style="2270" customWidth="1"/>
    <col min="14081" max="14326" width="8.81640625" style="2270"/>
    <col min="14327" max="14327" width="40.1796875" style="2270" customWidth="1"/>
    <col min="14328" max="14328" width="37" style="2270" customWidth="1"/>
    <col min="14329" max="14329" width="17.453125" style="2270" customWidth="1"/>
    <col min="14330" max="14330" width="19.453125" style="2270" customWidth="1"/>
    <col min="14331" max="14331" width="0" style="2270" hidden="1" customWidth="1"/>
    <col min="14332" max="14332" width="21.7265625" style="2270" customWidth="1"/>
    <col min="14333" max="14333" width="71" style="2270" customWidth="1"/>
    <col min="14334" max="14335" width="0" style="2270" hidden="1" customWidth="1"/>
    <col min="14336" max="14336" width="13.7265625" style="2270" customWidth="1"/>
    <col min="14337" max="14582" width="8.81640625" style="2270"/>
    <col min="14583" max="14583" width="40.1796875" style="2270" customWidth="1"/>
    <col min="14584" max="14584" width="37" style="2270" customWidth="1"/>
    <col min="14585" max="14585" width="17.453125" style="2270" customWidth="1"/>
    <col min="14586" max="14586" width="19.453125" style="2270" customWidth="1"/>
    <col min="14587" max="14587" width="0" style="2270" hidden="1" customWidth="1"/>
    <col min="14588" max="14588" width="21.7265625" style="2270" customWidth="1"/>
    <col min="14589" max="14589" width="71" style="2270" customWidth="1"/>
    <col min="14590" max="14591" width="0" style="2270" hidden="1" customWidth="1"/>
    <col min="14592" max="14592" width="13.7265625" style="2270" customWidth="1"/>
    <col min="14593" max="14838" width="8.81640625" style="2270"/>
    <col min="14839" max="14839" width="40.1796875" style="2270" customWidth="1"/>
    <col min="14840" max="14840" width="37" style="2270" customWidth="1"/>
    <col min="14841" max="14841" width="17.453125" style="2270" customWidth="1"/>
    <col min="14842" max="14842" width="19.453125" style="2270" customWidth="1"/>
    <col min="14843" max="14843" width="0" style="2270" hidden="1" customWidth="1"/>
    <col min="14844" max="14844" width="21.7265625" style="2270" customWidth="1"/>
    <col min="14845" max="14845" width="71" style="2270" customWidth="1"/>
    <col min="14846" max="14847" width="0" style="2270" hidden="1" customWidth="1"/>
    <col min="14848" max="14848" width="13.7265625" style="2270" customWidth="1"/>
    <col min="14849" max="15094" width="8.81640625" style="2270"/>
    <col min="15095" max="15095" width="40.1796875" style="2270" customWidth="1"/>
    <col min="15096" max="15096" width="37" style="2270" customWidth="1"/>
    <col min="15097" max="15097" width="17.453125" style="2270" customWidth="1"/>
    <col min="15098" max="15098" width="19.453125" style="2270" customWidth="1"/>
    <col min="15099" max="15099" width="0" style="2270" hidden="1" customWidth="1"/>
    <col min="15100" max="15100" width="21.7265625" style="2270" customWidth="1"/>
    <col min="15101" max="15101" width="71" style="2270" customWidth="1"/>
    <col min="15102" max="15103" width="0" style="2270" hidden="1" customWidth="1"/>
    <col min="15104" max="15104" width="13.7265625" style="2270" customWidth="1"/>
    <col min="15105" max="15350" width="8.81640625" style="2270"/>
    <col min="15351" max="15351" width="40.1796875" style="2270" customWidth="1"/>
    <col min="15352" max="15352" width="37" style="2270" customWidth="1"/>
    <col min="15353" max="15353" width="17.453125" style="2270" customWidth="1"/>
    <col min="15354" max="15354" width="19.453125" style="2270" customWidth="1"/>
    <col min="15355" max="15355" width="0" style="2270" hidden="1" customWidth="1"/>
    <col min="15356" max="15356" width="21.7265625" style="2270" customWidth="1"/>
    <col min="15357" max="15357" width="71" style="2270" customWidth="1"/>
    <col min="15358" max="15359" width="0" style="2270" hidden="1" customWidth="1"/>
    <col min="15360" max="15360" width="13.7265625" style="2270" customWidth="1"/>
    <col min="15361" max="15606" width="8.81640625" style="2270"/>
    <col min="15607" max="15607" width="40.1796875" style="2270" customWidth="1"/>
    <col min="15608" max="15608" width="37" style="2270" customWidth="1"/>
    <col min="15609" max="15609" width="17.453125" style="2270" customWidth="1"/>
    <col min="15610" max="15610" width="19.453125" style="2270" customWidth="1"/>
    <col min="15611" max="15611" width="0" style="2270" hidden="1" customWidth="1"/>
    <col min="15612" max="15612" width="21.7265625" style="2270" customWidth="1"/>
    <col min="15613" max="15613" width="71" style="2270" customWidth="1"/>
    <col min="15614" max="15615" width="0" style="2270" hidden="1" customWidth="1"/>
    <col min="15616" max="15616" width="13.7265625" style="2270" customWidth="1"/>
    <col min="15617" max="15862" width="8.81640625" style="2270"/>
    <col min="15863" max="15863" width="40.1796875" style="2270" customWidth="1"/>
    <col min="15864" max="15864" width="37" style="2270" customWidth="1"/>
    <col min="15865" max="15865" width="17.453125" style="2270" customWidth="1"/>
    <col min="15866" max="15866" width="19.453125" style="2270" customWidth="1"/>
    <col min="15867" max="15867" width="0" style="2270" hidden="1" customWidth="1"/>
    <col min="15868" max="15868" width="21.7265625" style="2270" customWidth="1"/>
    <col min="15869" max="15869" width="71" style="2270" customWidth="1"/>
    <col min="15870" max="15871" width="0" style="2270" hidden="1" customWidth="1"/>
    <col min="15872" max="15872" width="13.7265625" style="2270" customWidth="1"/>
    <col min="15873" max="16118" width="8.81640625" style="2270"/>
    <col min="16119" max="16119" width="40.1796875" style="2270" customWidth="1"/>
    <col min="16120" max="16120" width="37" style="2270" customWidth="1"/>
    <col min="16121" max="16121" width="17.453125" style="2270" customWidth="1"/>
    <col min="16122" max="16122" width="19.453125" style="2270" customWidth="1"/>
    <col min="16123" max="16123" width="0" style="2270" hidden="1" customWidth="1"/>
    <col min="16124" max="16124" width="21.7265625" style="2270" customWidth="1"/>
    <col min="16125" max="16125" width="71" style="2270" customWidth="1"/>
    <col min="16126" max="16127" width="0" style="2270" hidden="1" customWidth="1"/>
    <col min="16128" max="16128" width="13.7265625" style="2270" customWidth="1"/>
    <col min="16129" max="16384" width="8.81640625" style="2270"/>
  </cols>
  <sheetData>
    <row r="1" spans="1:25" ht="15.5" x14ac:dyDescent="0.35">
      <c r="A1" s="2308"/>
      <c r="B1" s="2308"/>
      <c r="C1" s="2308"/>
      <c r="D1" s="2308"/>
      <c r="E1" s="2308"/>
      <c r="F1" s="2308"/>
      <c r="G1" s="2308"/>
      <c r="H1" s="3494" t="s">
        <v>792</v>
      </c>
      <c r="I1" s="3494"/>
      <c r="J1" s="3494"/>
    </row>
    <row r="2" spans="1:25" ht="15.5" x14ac:dyDescent="0.35">
      <c r="A2" s="2308"/>
      <c r="B2" s="2308"/>
      <c r="C2" s="2308"/>
      <c r="D2" s="2308"/>
      <c r="E2" s="2308"/>
      <c r="F2" s="2308"/>
      <c r="G2" s="2308"/>
      <c r="H2" s="3494" t="s">
        <v>450</v>
      </c>
      <c r="I2" s="3494"/>
      <c r="J2" s="3494"/>
    </row>
    <row r="3" spans="1:25" ht="15.5" x14ac:dyDescent="0.35">
      <c r="A3" s="2308"/>
      <c r="B3" s="2308"/>
      <c r="C3" s="2308"/>
      <c r="D3" s="2308"/>
      <c r="E3" s="2308"/>
      <c r="F3" s="2308"/>
      <c r="G3" s="2308"/>
      <c r="H3" s="3494" t="s">
        <v>449</v>
      </c>
      <c r="I3" s="3494"/>
      <c r="J3" s="3494"/>
    </row>
    <row r="4" spans="1:25" ht="15.5" x14ac:dyDescent="0.35">
      <c r="A4" s="2308"/>
      <c r="B4" s="2308"/>
      <c r="C4" s="2308"/>
      <c r="D4" s="2308"/>
      <c r="E4" s="2308"/>
      <c r="F4" s="2308"/>
      <c r="G4" s="2308"/>
      <c r="H4" s="3494" t="s">
        <v>448</v>
      </c>
      <c r="I4" s="3494"/>
      <c r="J4" s="3494"/>
    </row>
    <row r="5" spans="1:25" ht="15.5" x14ac:dyDescent="0.35">
      <c r="A5" s="2308"/>
      <c r="B5" s="2308"/>
      <c r="C5" s="2308"/>
      <c r="D5" s="2308"/>
      <c r="E5" s="2308"/>
      <c r="F5" s="2308"/>
      <c r="G5" s="2308"/>
      <c r="H5" s="3494" t="s">
        <v>1378</v>
      </c>
      <c r="I5" s="3494"/>
      <c r="J5" s="3494"/>
    </row>
    <row r="6" spans="1:25" ht="15.5" x14ac:dyDescent="0.35">
      <c r="A6" s="2308"/>
      <c r="B6" s="2308"/>
      <c r="C6" s="2308"/>
      <c r="D6" s="2308"/>
      <c r="E6" s="2308"/>
      <c r="F6" s="2308"/>
      <c r="G6" s="2308"/>
      <c r="H6" s="2346"/>
      <c r="I6" s="2346"/>
      <c r="J6" s="2346"/>
    </row>
    <row r="7" spans="1:25" ht="15.5" x14ac:dyDescent="0.35">
      <c r="A7" s="2308"/>
      <c r="B7" s="2308"/>
      <c r="C7" s="2308"/>
      <c r="D7" s="2308"/>
      <c r="E7" s="2308"/>
      <c r="F7" s="2309"/>
      <c r="G7" s="2308"/>
      <c r="H7" s="2346"/>
      <c r="I7" s="2346"/>
      <c r="J7" s="2347" t="s">
        <v>1238</v>
      </c>
    </row>
    <row r="8" spans="1:25" ht="15.5" x14ac:dyDescent="0.35">
      <c r="A8" s="2308"/>
      <c r="B8" s="2308"/>
      <c r="C8" s="2308"/>
      <c r="D8" s="2308"/>
      <c r="E8" s="2308"/>
      <c r="F8" s="2309"/>
      <c r="G8" s="2308"/>
      <c r="H8" s="2346"/>
      <c r="I8" s="2346"/>
      <c r="J8" s="2347" t="s">
        <v>797</v>
      </c>
    </row>
    <row r="9" spans="1:25" ht="15.5" x14ac:dyDescent="0.35">
      <c r="A9" s="2308"/>
      <c r="B9" s="2308"/>
      <c r="C9" s="2308"/>
      <c r="D9" s="2308"/>
      <c r="E9" s="2308"/>
      <c r="F9" s="2309"/>
      <c r="G9" s="2308"/>
      <c r="H9" s="2346"/>
      <c r="I9" s="2348"/>
      <c r="J9" s="2976" t="s">
        <v>449</v>
      </c>
    </row>
    <row r="10" spans="1:25" ht="15.5" x14ac:dyDescent="0.35">
      <c r="A10" s="2308"/>
      <c r="B10" s="2308"/>
      <c r="C10" s="2308"/>
      <c r="D10" s="2308"/>
      <c r="E10" s="2308"/>
      <c r="F10" s="2309"/>
      <c r="G10" s="2308"/>
      <c r="H10" s="2346"/>
      <c r="I10" s="2346"/>
      <c r="J10" s="2976" t="s">
        <v>448</v>
      </c>
    </row>
    <row r="11" spans="1:25" ht="12.65" customHeight="1" x14ac:dyDescent="0.3">
      <c r="A11" s="2308"/>
      <c r="B11" s="2308"/>
      <c r="C11" s="2308"/>
      <c r="D11" s="2308"/>
      <c r="E11" s="2308"/>
      <c r="F11" s="2311"/>
      <c r="G11" s="2308"/>
      <c r="H11" s="3284" t="str">
        <f>'прил2 дох 2022-2024..'!$K$22</f>
        <v xml:space="preserve">    от  "22" декабря  2021 года № 247</v>
      </c>
      <c r="I11" s="3284"/>
      <c r="J11" s="3284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308"/>
      <c r="B12" s="2308"/>
      <c r="C12" s="2308"/>
      <c r="D12" s="2308"/>
      <c r="E12" s="2308"/>
      <c r="F12" s="2312"/>
      <c r="G12" s="2308"/>
      <c r="H12" s="2346"/>
      <c r="I12" s="2346"/>
      <c r="J12" s="2346"/>
    </row>
    <row r="13" spans="1:25" ht="18" hidden="1" customHeight="1" x14ac:dyDescent="0.3">
      <c r="A13" s="2308"/>
      <c r="B13" s="2313"/>
      <c r="C13" s="2314"/>
      <c r="D13" s="2315"/>
      <c r="E13" s="2316"/>
      <c r="F13" s="2316"/>
      <c r="G13" s="2316"/>
      <c r="H13" s="2308"/>
      <c r="I13" s="2308"/>
      <c r="J13" s="2308"/>
    </row>
    <row r="14" spans="1:25" ht="24" customHeight="1" x14ac:dyDescent="0.3">
      <c r="A14" s="2308"/>
      <c r="B14" s="3492" t="s">
        <v>983</v>
      </c>
      <c r="C14" s="3492"/>
      <c r="D14" s="3492"/>
      <c r="E14" s="3492"/>
      <c r="F14" s="3492"/>
      <c r="G14" s="3492"/>
      <c r="H14" s="3492"/>
      <c r="I14" s="3492"/>
      <c r="J14" s="3492"/>
    </row>
    <row r="15" spans="1:25" ht="20.149999999999999" customHeight="1" x14ac:dyDescent="0.35">
      <c r="A15" s="3493" t="s">
        <v>869</v>
      </c>
      <c r="B15" s="3493"/>
      <c r="C15" s="3493"/>
      <c r="D15" s="3493"/>
      <c r="E15" s="3493"/>
      <c r="F15" s="3493"/>
      <c r="G15" s="3493"/>
      <c r="H15" s="3493"/>
      <c r="I15" s="3493"/>
      <c r="J15" s="3493"/>
      <c r="K15" s="2271"/>
    </row>
    <row r="16" spans="1:25" ht="15.75" customHeight="1" x14ac:dyDescent="0.35">
      <c r="A16" s="3024" t="s">
        <v>1218</v>
      </c>
      <c r="B16" s="3024"/>
      <c r="C16" s="3024"/>
      <c r="D16" s="3024"/>
      <c r="E16" s="3024"/>
      <c r="F16" s="3024"/>
      <c r="G16" s="3024"/>
      <c r="H16" s="3024"/>
      <c r="I16" s="3024"/>
      <c r="J16" s="302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308"/>
      <c r="B17" s="2317"/>
      <c r="C17" s="2366"/>
      <c r="D17" s="2366"/>
      <c r="E17" s="2319"/>
      <c r="F17" s="2319"/>
      <c r="G17" s="2320"/>
      <c r="H17" s="2308"/>
      <c r="I17" s="2308"/>
      <c r="J17" s="2320" t="s">
        <v>979</v>
      </c>
    </row>
    <row r="18" spans="1:10" ht="34.5" customHeight="1" x14ac:dyDescent="0.3">
      <c r="A18" s="2308"/>
      <c r="B18" s="2367" t="s">
        <v>611</v>
      </c>
      <c r="C18" s="2368" t="s">
        <v>980</v>
      </c>
      <c r="D18" s="2368" t="s">
        <v>609</v>
      </c>
      <c r="E18" s="2368" t="s">
        <v>608</v>
      </c>
      <c r="F18" s="2368" t="s">
        <v>607</v>
      </c>
      <c r="G18" s="2368" t="s">
        <v>606</v>
      </c>
      <c r="H18" s="2368" t="s">
        <v>1042</v>
      </c>
      <c r="I18" s="2368" t="s">
        <v>1202</v>
      </c>
      <c r="J18" s="2369" t="s">
        <v>1228</v>
      </c>
    </row>
    <row r="19" spans="1:10" ht="123" customHeight="1" x14ac:dyDescent="0.3">
      <c r="A19" s="2308"/>
      <c r="B19" s="2370">
        <v>1</v>
      </c>
      <c r="C19" s="1093" t="s">
        <v>1298</v>
      </c>
      <c r="D19" s="2372" t="s">
        <v>452</v>
      </c>
      <c r="E19" s="2372" t="s">
        <v>539</v>
      </c>
      <c r="F19" s="3001" t="s">
        <v>1295</v>
      </c>
      <c r="G19" s="2550"/>
      <c r="H19" s="2551">
        <f>H21+H23</f>
        <v>25968.887299999999</v>
      </c>
      <c r="I19" s="2551">
        <f>I21+I23</f>
        <v>948.3</v>
      </c>
      <c r="J19" s="2552">
        <f>J21+J23</f>
        <v>948.3</v>
      </c>
    </row>
    <row r="20" spans="1:10" s="2272" customFormat="1" ht="55" customHeight="1" x14ac:dyDescent="0.35">
      <c r="A20" s="2329"/>
      <c r="B20" s="2375"/>
      <c r="C20" s="2376" t="s">
        <v>1235</v>
      </c>
      <c r="D20" s="2372" t="s">
        <v>452</v>
      </c>
      <c r="E20" s="2372" t="s">
        <v>539</v>
      </c>
      <c r="F20" s="3001" t="s">
        <v>1294</v>
      </c>
      <c r="G20" s="2553"/>
      <c r="H20" s="2554">
        <f>H21</f>
        <v>25826.582429999999</v>
      </c>
      <c r="I20" s="2554">
        <f>I21</f>
        <v>0</v>
      </c>
      <c r="J20" s="2555">
        <f>J21</f>
        <v>0</v>
      </c>
    </row>
    <row r="21" spans="1:10" s="2272" customFormat="1" ht="70.5" customHeight="1" x14ac:dyDescent="0.35">
      <c r="A21" s="2329"/>
      <c r="B21" s="2375"/>
      <c r="C21" s="2376" t="s">
        <v>1206</v>
      </c>
      <c r="D21" s="2372" t="s">
        <v>452</v>
      </c>
      <c r="E21" s="2372" t="s">
        <v>539</v>
      </c>
      <c r="F21" s="3001" t="s">
        <v>1294</v>
      </c>
      <c r="G21" s="2556" t="s">
        <v>1</v>
      </c>
      <c r="H21" s="2554">
        <f>25826.58243</f>
        <v>25826.582429999999</v>
      </c>
      <c r="I21" s="2554">
        <v>0</v>
      </c>
      <c r="J21" s="2555">
        <v>0</v>
      </c>
    </row>
    <row r="22" spans="1:10" s="2272" customFormat="1" ht="55" customHeight="1" x14ac:dyDescent="0.35">
      <c r="A22" s="2329"/>
      <c r="B22" s="2375"/>
      <c r="C22" s="336" t="s">
        <v>1301</v>
      </c>
      <c r="D22" s="2372" t="s">
        <v>452</v>
      </c>
      <c r="E22" s="2372" t="s">
        <v>539</v>
      </c>
      <c r="F22" s="2372" t="s">
        <v>1300</v>
      </c>
      <c r="G22" s="2556"/>
      <c r="H22" s="2554">
        <f>H23</f>
        <v>142.30486999999999</v>
      </c>
      <c r="I22" s="2554">
        <f>I23</f>
        <v>948.3</v>
      </c>
      <c r="J22" s="2555">
        <f>J23</f>
        <v>948.3</v>
      </c>
    </row>
    <row r="23" spans="1:10" s="2272" customFormat="1" ht="52.5" customHeight="1" x14ac:dyDescent="0.35">
      <c r="A23" s="2329"/>
      <c r="B23" s="2375"/>
      <c r="C23" s="2376" t="s">
        <v>1153</v>
      </c>
      <c r="D23" s="2372" t="s">
        <v>452</v>
      </c>
      <c r="E23" s="2372" t="s">
        <v>539</v>
      </c>
      <c r="F23" s="3001" t="s">
        <v>1299</v>
      </c>
      <c r="G23" s="2556" t="s">
        <v>1</v>
      </c>
      <c r="H23" s="2554">
        <v>142.30486999999999</v>
      </c>
      <c r="I23" s="2554">
        <v>948.3</v>
      </c>
      <c r="J23" s="2555">
        <v>948.3</v>
      </c>
    </row>
    <row r="24" spans="1:10" s="2272" customFormat="1" ht="52.5" hidden="1" customHeight="1" x14ac:dyDescent="0.35">
      <c r="A24" s="2329"/>
      <c r="B24" s="2381"/>
      <c r="C24" s="2382"/>
      <c r="D24" s="2372" t="s">
        <v>452</v>
      </c>
      <c r="E24" s="2372" t="s">
        <v>539</v>
      </c>
      <c r="F24" s="2372" t="s">
        <v>205</v>
      </c>
      <c r="G24" s="2556" t="s">
        <v>1</v>
      </c>
      <c r="H24" s="2557"/>
      <c r="I24" s="2557"/>
      <c r="J24" s="2558"/>
    </row>
    <row r="25" spans="1:10" ht="30" customHeight="1" thickBot="1" x14ac:dyDescent="0.35">
      <c r="A25" s="2308"/>
      <c r="B25" s="2340"/>
      <c r="C25" s="2341" t="s">
        <v>314</v>
      </c>
      <c r="D25" s="2342"/>
      <c r="E25" s="2343"/>
      <c r="F25" s="2343"/>
      <c r="G25" s="2343"/>
      <c r="H25" s="2559">
        <f>H19</f>
        <v>25968.887299999999</v>
      </c>
      <c r="I25" s="2559">
        <f>I19</f>
        <v>948.3</v>
      </c>
      <c r="J25" s="2560">
        <f>J19</f>
        <v>948.3</v>
      </c>
    </row>
    <row r="26" spans="1:10" ht="13" x14ac:dyDescent="0.3">
      <c r="A26" s="2308"/>
      <c r="B26" s="2308"/>
      <c r="C26" s="2308"/>
      <c r="D26" s="2308"/>
      <c r="E26" s="2308"/>
      <c r="F26" s="2308"/>
      <c r="G26" s="2308"/>
      <c r="H26" s="2308"/>
      <c r="I26" s="2308"/>
      <c r="J26" s="2308"/>
    </row>
    <row r="27" spans="1:10" ht="13" x14ac:dyDescent="0.3">
      <c r="A27" s="2308"/>
      <c r="B27" s="2308"/>
      <c r="C27" s="2308"/>
      <c r="D27" s="2308"/>
      <c r="E27" s="2308"/>
      <c r="F27" s="2308"/>
      <c r="G27" s="2308"/>
      <c r="H27" s="2308"/>
      <c r="I27" s="2308"/>
      <c r="J27" s="2308"/>
    </row>
    <row r="28" spans="1:10" x14ac:dyDescent="0.25">
      <c r="E28" s="2273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8" orientation="portrait" r:id="rId1"/>
  <colBreaks count="1" manualBreakCount="1">
    <brk id="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796875" defaultRowHeight="15.5" x14ac:dyDescent="0.35"/>
  <cols>
    <col min="1" max="1" width="5.26953125" style="1" customWidth="1"/>
    <col min="2" max="2" width="51.26953125" style="6" customWidth="1"/>
    <col min="3" max="3" width="8.453125" style="5" customWidth="1"/>
    <col min="4" max="4" width="3.453125" style="2741" bestFit="1" customWidth="1"/>
    <col min="5" max="5" width="4.26953125" style="2741" bestFit="1" customWidth="1"/>
    <col min="6" max="6" width="16" style="2741" customWidth="1"/>
    <col min="7" max="7" width="4.54296875" style="2741" bestFit="1" customWidth="1"/>
    <col min="8" max="8" width="19.453125" style="2612" customWidth="1"/>
    <col min="9" max="9" width="18.7265625" style="2613" hidden="1" customWidth="1"/>
    <col min="10" max="10" width="15.7265625" style="2614" hidden="1" customWidth="1"/>
    <col min="11" max="11" width="11.1796875" style="2614" hidden="1" customWidth="1"/>
    <col min="12" max="12" width="14.7265625" style="2614" hidden="1" customWidth="1"/>
    <col min="13" max="13" width="2.453125" style="2614" hidden="1" customWidth="1"/>
    <col min="14" max="14" width="19.26953125" style="2612" customWidth="1"/>
    <col min="15" max="16" width="8.81640625" style="2614" hidden="1" customWidth="1"/>
    <col min="17" max="17" width="15.453125" style="2614" hidden="1" customWidth="1"/>
    <col min="18" max="20" width="9.1796875" style="2614" hidden="1" customWidth="1"/>
    <col min="21" max="21" width="19.54296875" style="2613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18.453125" style="1" customWidth="1"/>
    <col min="30" max="30" width="19.7265625" style="1" customWidth="1"/>
    <col min="31" max="16384" width="9.1796875" style="1"/>
  </cols>
  <sheetData>
    <row r="1" spans="5:22" hidden="1" x14ac:dyDescent="0.3">
      <c r="H1" s="3495" t="s">
        <v>1140</v>
      </c>
      <c r="I1" s="3495"/>
      <c r="J1" s="3495"/>
      <c r="K1" s="3495"/>
      <c r="L1" s="3495"/>
      <c r="M1" s="3495"/>
      <c r="N1" s="3495"/>
      <c r="O1" s="3495"/>
      <c r="P1" s="3495"/>
      <c r="Q1" s="3495"/>
      <c r="R1" s="3495"/>
      <c r="S1" s="3495"/>
      <c r="T1" s="3495"/>
      <c r="U1" s="3495"/>
    </row>
    <row r="2" spans="5:22" hidden="1" x14ac:dyDescent="0.3">
      <c r="H2" s="3495" t="s">
        <v>450</v>
      </c>
      <c r="I2" s="3495"/>
      <c r="J2" s="3495"/>
      <c r="K2" s="3495"/>
      <c r="L2" s="3495"/>
      <c r="M2" s="3495"/>
      <c r="N2" s="3495"/>
      <c r="O2" s="3495"/>
      <c r="P2" s="3495"/>
      <c r="Q2" s="3495"/>
      <c r="R2" s="3495"/>
      <c r="S2" s="3495"/>
      <c r="T2" s="3495"/>
      <c r="U2" s="3495"/>
    </row>
    <row r="3" spans="5:22" hidden="1" x14ac:dyDescent="0.3">
      <c r="H3" s="3495" t="s">
        <v>449</v>
      </c>
      <c r="I3" s="3495"/>
      <c r="J3" s="3495"/>
      <c r="K3" s="3495"/>
      <c r="L3" s="3495"/>
      <c r="M3" s="3495"/>
      <c r="N3" s="3495"/>
      <c r="O3" s="3495"/>
      <c r="P3" s="3495"/>
      <c r="Q3" s="3495"/>
      <c r="R3" s="3495"/>
      <c r="S3" s="3495"/>
      <c r="T3" s="3495"/>
      <c r="U3" s="3495"/>
    </row>
    <row r="4" spans="5:22" hidden="1" x14ac:dyDescent="0.3">
      <c r="H4" s="3495" t="s">
        <v>448</v>
      </c>
      <c r="I4" s="3495"/>
      <c r="J4" s="3495"/>
      <c r="K4" s="3495"/>
      <c r="L4" s="3495"/>
      <c r="M4" s="3495"/>
      <c r="N4" s="3495"/>
      <c r="O4" s="3495"/>
      <c r="P4" s="3495"/>
      <c r="Q4" s="3495"/>
      <c r="R4" s="3495"/>
      <c r="S4" s="3495"/>
      <c r="T4" s="3495"/>
      <c r="U4" s="3495"/>
    </row>
    <row r="5" spans="5:22" hidden="1" x14ac:dyDescent="0.3">
      <c r="H5" s="3496" t="s">
        <v>1196</v>
      </c>
      <c r="I5" s="3496"/>
      <c r="J5" s="3496"/>
      <c r="K5" s="3496"/>
      <c r="L5" s="3496"/>
      <c r="M5" s="3496"/>
      <c r="N5" s="3496"/>
      <c r="O5" s="3496"/>
      <c r="P5" s="3496"/>
      <c r="Q5" s="3496"/>
      <c r="R5" s="3496"/>
      <c r="S5" s="3496"/>
      <c r="T5" s="3496"/>
      <c r="U5" s="3496"/>
    </row>
    <row r="6" spans="5:22" hidden="1" x14ac:dyDescent="0.35"/>
    <row r="7" spans="5:22" x14ac:dyDescent="0.35">
      <c r="H7" s="2605"/>
      <c r="I7" s="2606"/>
      <c r="J7" s="2606"/>
      <c r="K7" s="2606"/>
      <c r="L7" s="2606"/>
      <c r="M7" s="2606"/>
      <c r="O7" s="2606"/>
      <c r="P7" s="2606"/>
      <c r="Q7" s="2606"/>
      <c r="R7" s="2606"/>
      <c r="U7" s="2607" t="s">
        <v>946</v>
      </c>
    </row>
    <row r="8" spans="5:22" x14ac:dyDescent="0.35">
      <c r="E8" s="1450"/>
      <c r="F8" s="1450"/>
      <c r="G8" s="1450"/>
      <c r="H8" s="2605"/>
      <c r="I8" s="2606"/>
      <c r="J8" s="2606"/>
      <c r="K8" s="2606"/>
      <c r="L8" s="2606"/>
      <c r="M8" s="2606"/>
      <c r="P8" s="2606"/>
      <c r="Q8" s="2606"/>
      <c r="R8" s="2606"/>
      <c r="U8" s="2607" t="s">
        <v>450</v>
      </c>
    </row>
    <row r="9" spans="5:22" x14ac:dyDescent="0.35">
      <c r="E9" s="1450"/>
      <c r="F9" s="1450"/>
      <c r="G9" s="1450"/>
      <c r="H9" s="2605"/>
      <c r="I9" s="2606"/>
      <c r="J9" s="2606"/>
      <c r="K9" s="2606"/>
      <c r="L9" s="2606"/>
      <c r="M9" s="2606"/>
      <c r="O9" s="2606"/>
      <c r="P9" s="2606"/>
      <c r="Q9" s="2606"/>
      <c r="R9" s="2606"/>
      <c r="U9" s="2607" t="s">
        <v>449</v>
      </c>
    </row>
    <row r="10" spans="5:22" x14ac:dyDescent="0.35">
      <c r="E10" s="1450"/>
      <c r="F10" s="1450"/>
      <c r="G10" s="1450"/>
      <c r="H10" s="2605"/>
      <c r="I10" s="2606"/>
      <c r="J10" s="2606"/>
      <c r="K10" s="2606"/>
      <c r="L10" s="2606"/>
      <c r="M10" s="2606"/>
      <c r="O10" s="2606"/>
      <c r="P10" s="2606"/>
      <c r="Q10" s="2606"/>
      <c r="R10" s="2606"/>
      <c r="U10" s="2607" t="s">
        <v>448</v>
      </c>
    </row>
    <row r="11" spans="5:22" x14ac:dyDescent="0.25">
      <c r="E11" s="1451"/>
      <c r="F11" s="1451"/>
      <c r="G11" s="1451"/>
      <c r="H11" s="3497" t="str">
        <f>'прил2 дох 2022-2024..'!$K$22</f>
        <v xml:space="preserve">    от  "22" декабря  2021 года № 247</v>
      </c>
      <c r="I11" s="3497"/>
      <c r="J11" s="3497"/>
      <c r="K11" s="3497"/>
      <c r="L11" s="3497"/>
      <c r="M11" s="3497"/>
      <c r="N11" s="3497"/>
      <c r="O11" s="3497"/>
      <c r="P11" s="3497"/>
      <c r="Q11" s="3497"/>
      <c r="R11" s="3497"/>
      <c r="S11" s="3497"/>
      <c r="T11" s="3497"/>
      <c r="U11" s="3497"/>
      <c r="V11" s="1824"/>
    </row>
    <row r="12" spans="5:22" hidden="1" x14ac:dyDescent="0.35">
      <c r="I12" s="2615"/>
      <c r="J12" s="2615"/>
      <c r="K12" s="2615"/>
      <c r="L12" s="2615"/>
      <c r="M12" s="2613"/>
      <c r="O12" s="2607"/>
      <c r="P12" s="2607"/>
      <c r="Q12" s="2607"/>
      <c r="R12" s="2607"/>
    </row>
    <row r="13" spans="5:22" hidden="1" x14ac:dyDescent="0.35">
      <c r="E13" s="1455"/>
      <c r="F13" s="1455"/>
      <c r="G13" s="1455"/>
      <c r="H13" s="2608" t="s">
        <v>446</v>
      </c>
      <c r="I13" s="2615"/>
      <c r="J13" s="2609"/>
      <c r="K13" s="2609"/>
      <c r="L13" s="2609"/>
      <c r="M13" s="2610"/>
      <c r="N13" s="2608" t="s">
        <v>446</v>
      </c>
      <c r="O13" s="2607"/>
      <c r="P13" s="2607"/>
      <c r="Q13" s="2607"/>
      <c r="R13" s="2607"/>
      <c r="U13" s="2610" t="s">
        <v>446</v>
      </c>
    </row>
    <row r="14" spans="5:22" hidden="1" x14ac:dyDescent="0.35">
      <c r="E14" s="1455"/>
      <c r="F14" s="1455"/>
      <c r="G14" s="1455"/>
      <c r="H14" s="2608"/>
      <c r="I14" s="2615"/>
      <c r="J14" s="2609"/>
      <c r="K14" s="2609"/>
      <c r="L14" s="2609"/>
      <c r="M14" s="2616"/>
      <c r="N14" s="2608"/>
      <c r="P14" s="2607"/>
      <c r="Q14" s="2607"/>
      <c r="U14" s="2616"/>
    </row>
    <row r="15" spans="5:22" hidden="1" x14ac:dyDescent="0.35">
      <c r="E15" s="1455"/>
      <c r="F15" s="1455"/>
      <c r="G15" s="1455"/>
      <c r="H15" s="2608" t="s">
        <v>848</v>
      </c>
      <c r="I15" s="2615"/>
      <c r="J15" s="2609"/>
      <c r="K15" s="2609"/>
      <c r="L15" s="2609"/>
      <c r="M15" s="2610"/>
      <c r="N15" s="2608" t="s">
        <v>848</v>
      </c>
      <c r="O15" s="2607"/>
      <c r="P15" s="2607"/>
      <c r="Q15" s="2607"/>
      <c r="R15" s="2607"/>
      <c r="U15" s="2610" t="s">
        <v>848</v>
      </c>
    </row>
    <row r="16" spans="5:22" hidden="1" x14ac:dyDescent="0.35">
      <c r="I16" s="2617">
        <v>73707.5</v>
      </c>
      <c r="J16" s="2615"/>
      <c r="K16" s="2615"/>
      <c r="L16" s="2615"/>
      <c r="M16" s="2613"/>
      <c r="O16" s="2607"/>
      <c r="P16" s="2607"/>
      <c r="Q16" s="2607"/>
    </row>
    <row r="17" spans="1:30" hidden="1" x14ac:dyDescent="0.35">
      <c r="G17" s="2743"/>
      <c r="I17" s="2618">
        <v>3685.4</v>
      </c>
    </row>
    <row r="18" spans="1:30" hidden="1" x14ac:dyDescent="0.35">
      <c r="B18" s="3488"/>
      <c r="C18" s="3488"/>
      <c r="D18" s="3488"/>
      <c r="E18" s="3488"/>
      <c r="F18" s="3488"/>
      <c r="G18" s="3488"/>
      <c r="H18" s="3488"/>
      <c r="I18" s="2619" t="e">
        <f>I16-I17-#REF!</f>
        <v>#REF!</v>
      </c>
      <c r="N18" s="2620"/>
      <c r="U18" s="2614"/>
    </row>
    <row r="19" spans="1:30" ht="15.65" customHeight="1" x14ac:dyDescent="0.25">
      <c r="A19" s="3489" t="s">
        <v>614</v>
      </c>
      <c r="B19" s="3489"/>
      <c r="C19" s="3489"/>
      <c r="D19" s="3489"/>
      <c r="E19" s="3489"/>
      <c r="F19" s="3489"/>
      <c r="G19" s="3489"/>
      <c r="H19" s="3489"/>
      <c r="I19" s="3489"/>
      <c r="J19" s="3489"/>
      <c r="K19" s="3489"/>
      <c r="L19" s="3489"/>
      <c r="M19" s="3489"/>
      <c r="N19" s="3489"/>
      <c r="O19" s="3489"/>
      <c r="P19" s="3489"/>
      <c r="Q19" s="3489"/>
      <c r="R19" s="3489"/>
      <c r="S19" s="3489"/>
      <c r="T19" s="3489"/>
      <c r="U19" s="3489"/>
      <c r="AA19" s="1831"/>
    </row>
    <row r="20" spans="1:30" ht="15.65" customHeight="1" x14ac:dyDescent="0.25">
      <c r="A20" s="3489" t="s">
        <v>613</v>
      </c>
      <c r="B20" s="3489"/>
      <c r="C20" s="3489"/>
      <c r="D20" s="3489"/>
      <c r="E20" s="3489"/>
      <c r="F20" s="3489"/>
      <c r="G20" s="3489"/>
      <c r="H20" s="3489"/>
      <c r="I20" s="3489"/>
      <c r="J20" s="3489"/>
      <c r="K20" s="3489"/>
      <c r="L20" s="3489"/>
      <c r="M20" s="3489"/>
      <c r="N20" s="3489"/>
      <c r="O20" s="3489"/>
      <c r="P20" s="3489"/>
      <c r="Q20" s="3489"/>
      <c r="R20" s="3489"/>
      <c r="S20" s="3489"/>
      <c r="T20" s="3489"/>
      <c r="U20" s="3489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5">
      <c r="A21" s="3489" t="s">
        <v>1226</v>
      </c>
      <c r="B21" s="3489"/>
      <c r="C21" s="3489"/>
      <c r="D21" s="3489"/>
      <c r="E21" s="3489"/>
      <c r="F21" s="3489"/>
      <c r="G21" s="3489"/>
      <c r="H21" s="3489"/>
      <c r="I21" s="3489"/>
      <c r="J21" s="3489"/>
      <c r="K21" s="3489"/>
      <c r="L21" s="3489"/>
      <c r="M21" s="3489"/>
      <c r="N21" s="3489"/>
      <c r="O21" s="3489"/>
      <c r="P21" s="3489"/>
      <c r="Q21" s="3489"/>
      <c r="R21" s="3489"/>
      <c r="S21" s="3489"/>
      <c r="T21" s="3489"/>
      <c r="U21" s="3489"/>
      <c r="AA21" s="1833"/>
      <c r="AC21" s="237"/>
    </row>
    <row r="22" spans="1:30" ht="16" thickBot="1" x14ac:dyDescent="0.4">
      <c r="A22" s="375"/>
      <c r="B22" s="236"/>
      <c r="C22" s="235"/>
      <c r="D22" s="2742"/>
      <c r="E22" s="2742"/>
      <c r="F22" s="2742"/>
      <c r="G22" s="2742"/>
      <c r="H22" s="2621"/>
      <c r="I22" s="2611"/>
      <c r="N22" s="2621"/>
      <c r="U22" s="2611" t="s">
        <v>829</v>
      </c>
      <c r="AA22" s="237">
        <f>N24+AA24</f>
        <v>112430.193</v>
      </c>
      <c r="AB22" s="237">
        <f>U24+AB24</f>
        <v>112379.057</v>
      </c>
    </row>
    <row r="23" spans="1:30" ht="31.5" thickBot="1" x14ac:dyDescent="0.4">
      <c r="A23" s="1158" t="s">
        <v>611</v>
      </c>
      <c r="B23" s="1159" t="s">
        <v>322</v>
      </c>
      <c r="C23" s="1160" t="s">
        <v>610</v>
      </c>
      <c r="D23" s="2744" t="s">
        <v>609</v>
      </c>
      <c r="E23" s="2744" t="s">
        <v>608</v>
      </c>
      <c r="F23" s="2744" t="s">
        <v>607</v>
      </c>
      <c r="G23" s="2745" t="s">
        <v>606</v>
      </c>
      <c r="H23" s="2622" t="s">
        <v>996</v>
      </c>
      <c r="I23" s="2623" t="s">
        <v>604</v>
      </c>
      <c r="J23" s="2624" t="s">
        <v>603</v>
      </c>
      <c r="K23" s="2625"/>
      <c r="L23" s="2625"/>
      <c r="M23" s="2625"/>
      <c r="N23" s="2626" t="s">
        <v>1201</v>
      </c>
      <c r="O23" s="2625"/>
      <c r="P23" s="2625"/>
      <c r="Q23" s="2625"/>
      <c r="R23" s="2625"/>
      <c r="S23" s="2625"/>
      <c r="T23" s="2625"/>
      <c r="U23" s="2627" t="s">
        <v>1227</v>
      </c>
    </row>
    <row r="24" spans="1:30" ht="16" thickBot="1" x14ac:dyDescent="0.4">
      <c r="A24" s="1163"/>
      <c r="B24" s="1164" t="s">
        <v>618</v>
      </c>
      <c r="C24" s="1165"/>
      <c r="D24" s="2746"/>
      <c r="E24" s="2746"/>
      <c r="F24" s="2746"/>
      <c r="G24" s="2747"/>
      <c r="H24" s="2628">
        <f>H26+H535+H563</f>
        <v>150473.16643000001</v>
      </c>
      <c r="I24" s="2629">
        <f>I25+I59+I514</f>
        <v>41834.239999999998</v>
      </c>
      <c r="J24" s="2630">
        <f>J25+J59+J514</f>
        <v>39496.512999999999</v>
      </c>
      <c r="K24" s="2631">
        <f>K27+K138+K170+K189+K228+K235+K249+K268+K270+K281+K321+K407+K427+K454+K472+K502</f>
        <v>32490.631000000001</v>
      </c>
      <c r="L24" s="2631">
        <v>95708.6</v>
      </c>
      <c r="M24" s="2631">
        <f>H24-L24</f>
        <v>54764.566430000006</v>
      </c>
      <c r="N24" s="2632">
        <f>N26+N535</f>
        <v>109903.35400000001</v>
      </c>
      <c r="O24" s="2631"/>
      <c r="P24" s="2631"/>
      <c r="Q24" s="2631"/>
      <c r="R24" s="2631"/>
      <c r="S24" s="2631"/>
      <c r="T24" s="2631"/>
      <c r="U24" s="2628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5" hidden="1" thickBot="1" x14ac:dyDescent="0.4">
      <c r="A25" s="1168">
        <v>1</v>
      </c>
      <c r="B25" s="1169" t="s">
        <v>601</v>
      </c>
      <c r="C25" s="1161" t="s">
        <v>430</v>
      </c>
      <c r="D25" s="2744"/>
      <c r="E25" s="2744"/>
      <c r="F25" s="2744"/>
      <c r="G25" s="2745"/>
      <c r="H25" s="2622">
        <f>H27</f>
        <v>29701.915000000001</v>
      </c>
      <c r="I25" s="2633">
        <f>I27</f>
        <v>0</v>
      </c>
      <c r="J25" s="2634">
        <f>J27</f>
        <v>0</v>
      </c>
      <c r="K25" s="2631"/>
      <c r="L25" s="2631"/>
      <c r="M25" s="2631"/>
      <c r="N25" s="2626">
        <f>N27</f>
        <v>26739.2055</v>
      </c>
      <c r="O25" s="2631"/>
      <c r="P25" s="2631"/>
      <c r="Q25" s="2631"/>
      <c r="R25" s="2631"/>
      <c r="S25" s="2631"/>
      <c r="T25" s="2631"/>
      <c r="U25" s="2622">
        <f>U27</f>
        <v>27902.480819999997</v>
      </c>
    </row>
    <row r="26" spans="1:30" ht="23.5" thickBot="1" x14ac:dyDescent="0.4">
      <c r="A26" s="1168">
        <v>1</v>
      </c>
      <c r="B26" s="1171" t="s">
        <v>584</v>
      </c>
      <c r="C26" s="1161" t="s">
        <v>430</v>
      </c>
      <c r="D26" s="2744"/>
      <c r="E26" s="2744"/>
      <c r="F26" s="2744"/>
      <c r="G26" s="2745"/>
      <c r="H26" s="2622">
        <f>H27+H126+H136+H174+H246+H404+H425+H453+H472+H502</f>
        <v>146859.64143000002</v>
      </c>
      <c r="I26" s="2633">
        <f>I27+I106+I137+I217+I320+I333+I410+I439+I96</f>
        <v>17641.879999999997</v>
      </c>
      <c r="J26" s="2635">
        <f>J27+J106+J137+J217+J320+J333+J410+J439+J96</f>
        <v>13887.225999999999</v>
      </c>
      <c r="K26" s="2631"/>
      <c r="L26" s="2631"/>
      <c r="M26" s="2631"/>
      <c r="N26" s="2626">
        <f>N27+N126+N136+N174+N246+N404+N425+N453+N472+N502</f>
        <v>106132.243</v>
      </c>
      <c r="O26" s="2631"/>
      <c r="P26" s="2631"/>
      <c r="Q26" s="2631"/>
      <c r="R26" s="2631"/>
      <c r="S26" s="2631"/>
      <c r="T26" s="2631"/>
      <c r="U26" s="2622">
        <f>U27+U126+U136+U174+U246+U404+U425+U453+U472+U502</f>
        <v>103382.383</v>
      </c>
      <c r="AA26" s="1836"/>
    </row>
    <row r="27" spans="1:30" ht="16" thickBot="1" x14ac:dyDescent="0.4">
      <c r="A27" s="1172"/>
      <c r="B27" s="1173" t="s">
        <v>431</v>
      </c>
      <c r="C27" s="1174"/>
      <c r="D27" s="2748" t="s">
        <v>456</v>
      </c>
      <c r="E27" s="2748" t="s">
        <v>459</v>
      </c>
      <c r="F27" s="2748"/>
      <c r="G27" s="2749"/>
      <c r="H27" s="2636">
        <f>H61+H85+H99+H106+H92</f>
        <v>29701.915000000001</v>
      </c>
      <c r="I27" s="2637">
        <f>I28+I40+I53</f>
        <v>0</v>
      </c>
      <c r="J27" s="2638">
        <f>J28+J40+J53</f>
        <v>0</v>
      </c>
      <c r="K27" s="2639">
        <f>K39+K45+K46+K47+K67+K69+K71+K74+K77+K84+K91+K105+K109+K110+K112+K115</f>
        <v>18000.908000000003</v>
      </c>
      <c r="L27" s="2631"/>
      <c r="M27" s="2631"/>
      <c r="N27" s="2640">
        <f>N61+N85+N92+N99+N112</f>
        <v>26739.2055</v>
      </c>
      <c r="O27" s="2631"/>
      <c r="P27" s="2631"/>
      <c r="Q27" s="2631"/>
      <c r="R27" s="2631"/>
      <c r="S27" s="2631"/>
      <c r="T27" s="2631"/>
      <c r="U27" s="2636">
        <f>U34+U40+U61+U85+U99+U106</f>
        <v>27902.480819999997</v>
      </c>
    </row>
    <row r="28" spans="1:30" ht="21.5" hidden="1" thickBot="1" x14ac:dyDescent="0.4">
      <c r="A28" s="842"/>
      <c r="B28" s="752" t="s">
        <v>600</v>
      </c>
      <c r="C28" s="1177"/>
      <c r="D28" s="2750" t="s">
        <v>456</v>
      </c>
      <c r="E28" s="2750" t="s">
        <v>488</v>
      </c>
      <c r="F28" s="2750"/>
      <c r="G28" s="2751"/>
      <c r="H28" s="2641"/>
      <c r="I28" s="2642">
        <f t="shared" ref="I28:J32" si="0">I29</f>
        <v>0</v>
      </c>
      <c r="J28" s="2643">
        <f t="shared" si="0"/>
        <v>0</v>
      </c>
      <c r="K28" s="2631"/>
      <c r="L28" s="2631"/>
      <c r="M28" s="2631"/>
      <c r="N28" s="2644"/>
      <c r="O28" s="2631"/>
      <c r="P28" s="2631"/>
      <c r="Q28" s="2631"/>
      <c r="R28" s="2631"/>
      <c r="S28" s="2631"/>
      <c r="T28" s="2631"/>
      <c r="U28" s="2641"/>
    </row>
    <row r="29" spans="1:30" ht="21.5" hidden="1" thickBot="1" x14ac:dyDescent="0.4">
      <c r="A29" s="1179"/>
      <c r="B29" s="753" t="s">
        <v>599</v>
      </c>
      <c r="C29" s="1180"/>
      <c r="D29" s="2750" t="s">
        <v>456</v>
      </c>
      <c r="E29" s="2750" t="s">
        <v>488</v>
      </c>
      <c r="F29" s="2750" t="s">
        <v>157</v>
      </c>
      <c r="G29" s="2751"/>
      <c r="H29" s="2641"/>
      <c r="I29" s="2642">
        <f t="shared" si="0"/>
        <v>0</v>
      </c>
      <c r="J29" s="2643">
        <f t="shared" si="0"/>
        <v>0</v>
      </c>
      <c r="K29" s="2631"/>
      <c r="L29" s="2631"/>
      <c r="M29" s="2631"/>
      <c r="N29" s="2644"/>
      <c r="O29" s="2631"/>
      <c r="P29" s="2631"/>
      <c r="Q29" s="2631"/>
      <c r="R29" s="2631"/>
      <c r="S29" s="2631"/>
      <c r="T29" s="2631"/>
      <c r="U29" s="2641"/>
    </row>
    <row r="30" spans="1:30" ht="21.5" hidden="1" thickBot="1" x14ac:dyDescent="0.4">
      <c r="A30" s="842"/>
      <c r="B30" s="753" t="s">
        <v>596</v>
      </c>
      <c r="C30" s="1180"/>
      <c r="D30" s="2750" t="s">
        <v>456</v>
      </c>
      <c r="E30" s="2750" t="s">
        <v>488</v>
      </c>
      <c r="F30" s="2750" t="s">
        <v>598</v>
      </c>
      <c r="G30" s="2751"/>
      <c r="H30" s="2641"/>
      <c r="I30" s="2642">
        <f t="shared" si="0"/>
        <v>0</v>
      </c>
      <c r="J30" s="2643">
        <f t="shared" si="0"/>
        <v>0</v>
      </c>
      <c r="K30" s="2631"/>
      <c r="L30" s="2631"/>
      <c r="M30" s="2631"/>
      <c r="N30" s="2644"/>
      <c r="O30" s="2631"/>
      <c r="P30" s="2631"/>
      <c r="Q30" s="2631"/>
      <c r="R30" s="2631"/>
      <c r="S30" s="2631"/>
      <c r="T30" s="2631"/>
      <c r="U30" s="2641"/>
    </row>
    <row r="31" spans="1:30" ht="16" hidden="1" thickBot="1" x14ac:dyDescent="0.4">
      <c r="A31" s="842"/>
      <c r="B31" s="753" t="s">
        <v>582</v>
      </c>
      <c r="C31" s="1180"/>
      <c r="D31" s="2750" t="s">
        <v>595</v>
      </c>
      <c r="E31" s="2750" t="s">
        <v>594</v>
      </c>
      <c r="F31" s="2750" t="s">
        <v>597</v>
      </c>
      <c r="G31" s="2751"/>
      <c r="H31" s="2641"/>
      <c r="I31" s="2642">
        <f t="shared" si="0"/>
        <v>0</v>
      </c>
      <c r="J31" s="2643">
        <f t="shared" si="0"/>
        <v>0</v>
      </c>
      <c r="K31" s="2631"/>
      <c r="L31" s="2631"/>
      <c r="M31" s="2631"/>
      <c r="N31" s="2644"/>
      <c r="O31" s="2631"/>
      <c r="P31" s="2631"/>
      <c r="Q31" s="2631"/>
      <c r="R31" s="2631"/>
      <c r="S31" s="2631"/>
      <c r="T31" s="2631"/>
      <c r="U31" s="2641"/>
    </row>
    <row r="32" spans="1:30" ht="21.5" hidden="1" thickBot="1" x14ac:dyDescent="0.4">
      <c r="A32" s="842"/>
      <c r="B32" s="753" t="s">
        <v>596</v>
      </c>
      <c r="C32" s="1180"/>
      <c r="D32" s="2750" t="s">
        <v>595</v>
      </c>
      <c r="E32" s="2750" t="s">
        <v>594</v>
      </c>
      <c r="F32" s="2750" t="s">
        <v>593</v>
      </c>
      <c r="G32" s="2751"/>
      <c r="H32" s="2641"/>
      <c r="I32" s="2642">
        <f t="shared" si="0"/>
        <v>0</v>
      </c>
      <c r="J32" s="2643">
        <f t="shared" si="0"/>
        <v>0</v>
      </c>
      <c r="K32" s="2631"/>
      <c r="L32" s="2631"/>
      <c r="M32" s="2631"/>
      <c r="N32" s="2644"/>
      <c r="O32" s="2631"/>
      <c r="P32" s="2631"/>
      <c r="Q32" s="2631"/>
      <c r="R32" s="2631"/>
      <c r="S32" s="2631"/>
      <c r="T32" s="2631"/>
      <c r="U32" s="2641"/>
    </row>
    <row r="33" spans="1:21" ht="21.5" hidden="1" thickBot="1" x14ac:dyDescent="0.4">
      <c r="A33" s="842"/>
      <c r="B33" s="1182" t="s">
        <v>571</v>
      </c>
      <c r="C33" s="1183"/>
      <c r="D33" s="2750" t="s">
        <v>456</v>
      </c>
      <c r="E33" s="2750" t="s">
        <v>488</v>
      </c>
      <c r="F33" s="2750" t="s">
        <v>593</v>
      </c>
      <c r="G33" s="2751" t="s">
        <v>5</v>
      </c>
      <c r="H33" s="2641"/>
      <c r="I33" s="2642"/>
      <c r="J33" s="2643"/>
      <c r="K33" s="2631"/>
      <c r="L33" s="2631"/>
      <c r="M33" s="2631"/>
      <c r="N33" s="2644"/>
      <c r="O33" s="2631"/>
      <c r="P33" s="2631"/>
      <c r="Q33" s="2631"/>
      <c r="R33" s="2631"/>
      <c r="S33" s="2631"/>
      <c r="T33" s="2631"/>
      <c r="U33" s="2641"/>
    </row>
    <row r="34" spans="1:21" ht="23.5" hidden="1" thickBot="1" x14ac:dyDescent="0.4">
      <c r="A34" s="842"/>
      <c r="B34" s="1184" t="s">
        <v>600</v>
      </c>
      <c r="C34" s="1183"/>
      <c r="D34" s="2750" t="s">
        <v>456</v>
      </c>
      <c r="E34" s="2750" t="s">
        <v>488</v>
      </c>
      <c r="F34" s="2750"/>
      <c r="G34" s="2751"/>
      <c r="H34" s="2641"/>
      <c r="I34" s="2642"/>
      <c r="J34" s="2643"/>
      <c r="K34" s="2631"/>
      <c r="L34" s="2631"/>
      <c r="M34" s="2631"/>
      <c r="N34" s="2644"/>
      <c r="O34" s="2631"/>
      <c r="P34" s="2631"/>
      <c r="Q34" s="2631"/>
      <c r="R34" s="2631"/>
      <c r="S34" s="2631"/>
      <c r="T34" s="2631"/>
      <c r="U34" s="2641"/>
    </row>
    <row r="35" spans="1:21" ht="24.75" hidden="1" customHeight="1" x14ac:dyDescent="0.35">
      <c r="A35" s="842"/>
      <c r="B35" s="753" t="s">
        <v>866</v>
      </c>
      <c r="C35" s="1183"/>
      <c r="D35" s="2750" t="s">
        <v>456</v>
      </c>
      <c r="E35" s="2750" t="s">
        <v>488</v>
      </c>
      <c r="F35" s="2750" t="s">
        <v>157</v>
      </c>
      <c r="G35" s="2751"/>
      <c r="H35" s="2641"/>
      <c r="I35" s="2642"/>
      <c r="J35" s="2643"/>
      <c r="K35" s="2631"/>
      <c r="L35" s="2631"/>
      <c r="M35" s="2631"/>
      <c r="N35" s="2644"/>
      <c r="O35" s="2631"/>
      <c r="P35" s="2631"/>
      <c r="Q35" s="2631"/>
      <c r="R35" s="2631"/>
      <c r="S35" s="2631"/>
      <c r="T35" s="2631"/>
      <c r="U35" s="2641"/>
    </row>
    <row r="36" spans="1:21" ht="21.5" hidden="1" thickBot="1" x14ac:dyDescent="0.4">
      <c r="A36" s="842"/>
      <c r="B36" s="753" t="s">
        <v>867</v>
      </c>
      <c r="C36" s="1183"/>
      <c r="D36" s="2750" t="s">
        <v>456</v>
      </c>
      <c r="E36" s="2750" t="s">
        <v>488</v>
      </c>
      <c r="F36" s="2750" t="s">
        <v>598</v>
      </c>
      <c r="G36" s="2751"/>
      <c r="H36" s="2641"/>
      <c r="I36" s="2642"/>
      <c r="J36" s="2643"/>
      <c r="K36" s="2631"/>
      <c r="L36" s="2631"/>
      <c r="M36" s="2631"/>
      <c r="N36" s="2644"/>
      <c r="O36" s="2631"/>
      <c r="P36" s="2631"/>
      <c r="Q36" s="2631"/>
      <c r="R36" s="2631"/>
      <c r="S36" s="2631"/>
      <c r="T36" s="2631"/>
      <c r="U36" s="2641"/>
    </row>
    <row r="37" spans="1:21" ht="16" hidden="1" thickBot="1" x14ac:dyDescent="0.4">
      <c r="A37" s="842"/>
      <c r="B37" s="753" t="s">
        <v>582</v>
      </c>
      <c r="C37" s="1183"/>
      <c r="D37" s="2750" t="s">
        <v>456</v>
      </c>
      <c r="E37" s="2750" t="s">
        <v>488</v>
      </c>
      <c r="F37" s="2750" t="s">
        <v>597</v>
      </c>
      <c r="G37" s="2751"/>
      <c r="H37" s="2641"/>
      <c r="I37" s="2642"/>
      <c r="J37" s="2643"/>
      <c r="K37" s="2631"/>
      <c r="L37" s="2631"/>
      <c r="M37" s="2631"/>
      <c r="N37" s="2644"/>
      <c r="O37" s="2631"/>
      <c r="P37" s="2631"/>
      <c r="Q37" s="2631"/>
      <c r="R37" s="2631"/>
      <c r="S37" s="2631"/>
      <c r="T37" s="2631"/>
      <c r="U37" s="2641"/>
    </row>
    <row r="38" spans="1:21" ht="21.5" hidden="1" thickBot="1" x14ac:dyDescent="0.4">
      <c r="A38" s="842"/>
      <c r="B38" s="753" t="s">
        <v>867</v>
      </c>
      <c r="C38" s="1183"/>
      <c r="D38" s="2750" t="s">
        <v>456</v>
      </c>
      <c r="E38" s="2750" t="s">
        <v>488</v>
      </c>
      <c r="F38" s="2750" t="s">
        <v>593</v>
      </c>
      <c r="G38" s="2751"/>
      <c r="H38" s="2641"/>
      <c r="I38" s="2642"/>
      <c r="J38" s="2643"/>
      <c r="K38" s="2631"/>
      <c r="L38" s="2631"/>
      <c r="M38" s="2631"/>
      <c r="N38" s="2644"/>
      <c r="O38" s="2631"/>
      <c r="P38" s="2631"/>
      <c r="Q38" s="2631"/>
      <c r="R38" s="2631"/>
      <c r="S38" s="2631"/>
      <c r="T38" s="2631"/>
      <c r="U38" s="2641"/>
    </row>
    <row r="39" spans="1:21" ht="21.5" hidden="1" thickBot="1" x14ac:dyDescent="0.4">
      <c r="A39" s="842"/>
      <c r="B39" s="1185" t="s">
        <v>571</v>
      </c>
      <c r="C39" s="1183"/>
      <c r="D39" s="2750" t="s">
        <v>456</v>
      </c>
      <c r="E39" s="2750" t="s">
        <v>488</v>
      </c>
      <c r="F39" s="2750" t="s">
        <v>593</v>
      </c>
      <c r="G39" s="2751" t="s">
        <v>5</v>
      </c>
      <c r="H39" s="2641"/>
      <c r="I39" s="2642"/>
      <c r="J39" s="2643"/>
      <c r="K39" s="2631"/>
      <c r="L39" s="2631"/>
      <c r="M39" s="2631"/>
      <c r="N39" s="2644"/>
      <c r="O39" s="2631"/>
      <c r="P39" s="2631"/>
      <c r="Q39" s="2631"/>
      <c r="R39" s="2631"/>
      <c r="S39" s="2631"/>
      <c r="T39" s="2631"/>
      <c r="U39" s="2641"/>
    </row>
    <row r="40" spans="1:21" ht="35" hidden="1" thickBot="1" x14ac:dyDescent="0.4">
      <c r="A40" s="842"/>
      <c r="B40" s="1184" t="s">
        <v>592</v>
      </c>
      <c r="C40" s="1177"/>
      <c r="D40" s="2750" t="s">
        <v>456</v>
      </c>
      <c r="E40" s="2750" t="s">
        <v>495</v>
      </c>
      <c r="F40" s="2750"/>
      <c r="G40" s="2751"/>
      <c r="H40" s="2641"/>
      <c r="I40" s="2642"/>
      <c r="J40" s="2643"/>
      <c r="K40" s="2631"/>
      <c r="L40" s="2631"/>
      <c r="M40" s="2631"/>
      <c r="N40" s="2644"/>
      <c r="O40" s="2631"/>
      <c r="P40" s="2631"/>
      <c r="Q40" s="2631"/>
      <c r="R40" s="2631"/>
      <c r="S40" s="2631"/>
      <c r="T40" s="2631"/>
      <c r="U40" s="2641"/>
    </row>
    <row r="41" spans="1:21" ht="26.25" hidden="1" customHeight="1" x14ac:dyDescent="0.35">
      <c r="A41" s="1179"/>
      <c r="B41" s="753" t="s">
        <v>588</v>
      </c>
      <c r="C41" s="1180"/>
      <c r="D41" s="2750" t="s">
        <v>456</v>
      </c>
      <c r="E41" s="2750" t="s">
        <v>495</v>
      </c>
      <c r="F41" s="2750" t="s">
        <v>157</v>
      </c>
      <c r="G41" s="2751"/>
      <c r="H41" s="2641"/>
      <c r="I41" s="2642"/>
      <c r="J41" s="2643"/>
      <c r="K41" s="2631"/>
      <c r="L41" s="2631"/>
      <c r="M41" s="2631"/>
      <c r="N41" s="2644"/>
      <c r="O41" s="2631"/>
      <c r="P41" s="2631"/>
      <c r="Q41" s="2631"/>
      <c r="R41" s="2631"/>
      <c r="S41" s="2631"/>
      <c r="T41" s="2631"/>
      <c r="U41" s="2641"/>
    </row>
    <row r="42" spans="1:21" ht="27" hidden="1" customHeight="1" x14ac:dyDescent="0.35">
      <c r="A42" s="842"/>
      <c r="B42" s="753" t="s">
        <v>591</v>
      </c>
      <c r="C42" s="1180"/>
      <c r="D42" s="2750" t="s">
        <v>456</v>
      </c>
      <c r="E42" s="2750" t="s">
        <v>495</v>
      </c>
      <c r="F42" s="2750" t="s">
        <v>155</v>
      </c>
      <c r="G42" s="2751"/>
      <c r="H42" s="2641"/>
      <c r="I42" s="2642"/>
      <c r="J42" s="2643"/>
      <c r="K42" s="2631"/>
      <c r="L42" s="2631"/>
      <c r="M42" s="2631"/>
      <c r="N42" s="2644"/>
      <c r="O42" s="2631"/>
      <c r="P42" s="2631"/>
      <c r="Q42" s="2631"/>
      <c r="R42" s="2631"/>
      <c r="S42" s="2631"/>
      <c r="T42" s="2631"/>
      <c r="U42" s="2641"/>
    </row>
    <row r="43" spans="1:21" ht="16" hidden="1" thickBot="1" x14ac:dyDescent="0.4">
      <c r="A43" s="842"/>
      <c r="B43" s="753" t="s">
        <v>582</v>
      </c>
      <c r="C43" s="1180"/>
      <c r="D43" s="2750" t="s">
        <v>456</v>
      </c>
      <c r="E43" s="2750" t="s">
        <v>495</v>
      </c>
      <c r="F43" s="2750" t="s">
        <v>154</v>
      </c>
      <c r="G43" s="2751"/>
      <c r="H43" s="2641"/>
      <c r="I43" s="2642"/>
      <c r="J43" s="2643"/>
      <c r="K43" s="2631"/>
      <c r="L43" s="2631"/>
      <c r="M43" s="2631"/>
      <c r="N43" s="2644"/>
      <c r="O43" s="2631"/>
      <c r="P43" s="2631"/>
      <c r="Q43" s="2631"/>
      <c r="R43" s="2631"/>
      <c r="S43" s="2631"/>
      <c r="T43" s="2631"/>
      <c r="U43" s="2641"/>
    </row>
    <row r="44" spans="1:21" ht="16" hidden="1" thickBot="1" x14ac:dyDescent="0.4">
      <c r="A44" s="842"/>
      <c r="B44" s="753" t="s">
        <v>153</v>
      </c>
      <c r="C44" s="1180"/>
      <c r="D44" s="2750" t="s">
        <v>456</v>
      </c>
      <c r="E44" s="2750" t="s">
        <v>495</v>
      </c>
      <c r="F44" s="2750" t="s">
        <v>152</v>
      </c>
      <c r="G44" s="2751"/>
      <c r="H44" s="2641"/>
      <c r="I44" s="2642"/>
      <c r="J44" s="2643"/>
      <c r="K44" s="2631"/>
      <c r="L44" s="2631"/>
      <c r="M44" s="2631"/>
      <c r="N44" s="2644"/>
      <c r="O44" s="2631"/>
      <c r="P44" s="2631"/>
      <c r="Q44" s="2631"/>
      <c r="R44" s="2631"/>
      <c r="S44" s="2631"/>
      <c r="T44" s="2631"/>
      <c r="U44" s="2641"/>
    </row>
    <row r="45" spans="1:21" ht="21.5" hidden="1" thickBot="1" x14ac:dyDescent="0.4">
      <c r="A45" s="842"/>
      <c r="B45" s="1182" t="s">
        <v>571</v>
      </c>
      <c r="C45" s="1183"/>
      <c r="D45" s="2750" t="s">
        <v>456</v>
      </c>
      <c r="E45" s="2750" t="s">
        <v>495</v>
      </c>
      <c r="F45" s="2750" t="s">
        <v>152</v>
      </c>
      <c r="G45" s="2751" t="s">
        <v>5</v>
      </c>
      <c r="H45" s="2641"/>
      <c r="I45" s="2642"/>
      <c r="J45" s="2645"/>
      <c r="K45" s="2631"/>
      <c r="L45" s="2631"/>
      <c r="M45" s="2631"/>
      <c r="N45" s="2644"/>
      <c r="O45" s="2631"/>
      <c r="P45" s="2631"/>
      <c r="Q45" s="2631"/>
      <c r="R45" s="2631"/>
      <c r="S45" s="2631"/>
      <c r="T45" s="2631"/>
      <c r="U45" s="2641"/>
    </row>
    <row r="46" spans="1:21" ht="21.5" hidden="1" thickBot="1" x14ac:dyDescent="0.4">
      <c r="A46" s="842"/>
      <c r="B46" s="1182" t="s">
        <v>454</v>
      </c>
      <c r="C46" s="1183"/>
      <c r="D46" s="2750" t="s">
        <v>456</v>
      </c>
      <c r="E46" s="2750" t="s">
        <v>495</v>
      </c>
      <c r="F46" s="2750" t="s">
        <v>152</v>
      </c>
      <c r="G46" s="2751" t="s">
        <v>1</v>
      </c>
      <c r="H46" s="2646"/>
      <c r="I46" s="2642"/>
      <c r="J46" s="2645"/>
      <c r="K46" s="2647"/>
      <c r="L46" s="2631"/>
      <c r="M46" s="2631"/>
      <c r="N46" s="2648"/>
      <c r="O46" s="2631"/>
      <c r="P46" s="2631"/>
      <c r="Q46" s="2631"/>
      <c r="R46" s="2631"/>
      <c r="S46" s="2631"/>
      <c r="T46" s="2631"/>
      <c r="U46" s="2646"/>
    </row>
    <row r="47" spans="1:21" ht="16" hidden="1" thickBot="1" x14ac:dyDescent="0.4">
      <c r="A47" s="842"/>
      <c r="B47" s="1182" t="s">
        <v>457</v>
      </c>
      <c r="C47" s="1183"/>
      <c r="D47" s="2750" t="s">
        <v>456</v>
      </c>
      <c r="E47" s="2750" t="s">
        <v>495</v>
      </c>
      <c r="F47" s="2750" t="s">
        <v>152</v>
      </c>
      <c r="G47" s="2751" t="s">
        <v>91</v>
      </c>
      <c r="H47" s="2646"/>
      <c r="I47" s="2642"/>
      <c r="J47" s="2649"/>
      <c r="K47" s="2647"/>
      <c r="L47" s="2631"/>
      <c r="M47" s="2631"/>
      <c r="N47" s="2648"/>
      <c r="O47" s="2631"/>
      <c r="P47" s="2631"/>
      <c r="Q47" s="2631"/>
      <c r="R47" s="2631"/>
      <c r="S47" s="2631"/>
      <c r="T47" s="2631"/>
      <c r="U47" s="2646"/>
    </row>
    <row r="48" spans="1:21" ht="16" hidden="1" thickBot="1" x14ac:dyDescent="0.4">
      <c r="A48" s="842"/>
      <c r="B48" s="1182"/>
      <c r="C48" s="1183"/>
      <c r="D48" s="2750"/>
      <c r="E48" s="2750"/>
      <c r="F48" s="2750"/>
      <c r="G48" s="2751"/>
      <c r="H48" s="2646"/>
      <c r="I48" s="2642"/>
      <c r="J48" s="2649"/>
      <c r="K48" s="2647"/>
      <c r="L48" s="2631"/>
      <c r="M48" s="2631"/>
      <c r="N48" s="2648"/>
      <c r="O48" s="2631"/>
      <c r="P48" s="2631"/>
      <c r="Q48" s="2631"/>
      <c r="R48" s="2631"/>
      <c r="S48" s="2631"/>
      <c r="T48" s="2631"/>
      <c r="U48" s="2646"/>
    </row>
    <row r="49" spans="1:27" ht="32" hidden="1" thickBot="1" x14ac:dyDescent="0.4">
      <c r="A49" s="1179"/>
      <c r="B49" s="1117" t="s">
        <v>590</v>
      </c>
      <c r="C49" s="1188"/>
      <c r="D49" s="2750" t="s">
        <v>456</v>
      </c>
      <c r="E49" s="2750" t="s">
        <v>495</v>
      </c>
      <c r="F49" s="2750" t="s">
        <v>117</v>
      </c>
      <c r="G49" s="2751"/>
      <c r="H49" s="2641">
        <f t="shared" ref="H49:J51" si="1">H50</f>
        <v>0</v>
      </c>
      <c r="I49" s="2642">
        <f t="shared" si="1"/>
        <v>659.56200000000001</v>
      </c>
      <c r="J49" s="2643">
        <f t="shared" si="1"/>
        <v>725.51900000000001</v>
      </c>
      <c r="K49" s="2631"/>
      <c r="L49" s="2631"/>
      <c r="M49" s="2631"/>
      <c r="N49" s="2644"/>
      <c r="O49" s="2631"/>
      <c r="P49" s="2631"/>
      <c r="Q49" s="2631"/>
      <c r="R49" s="2631"/>
      <c r="S49" s="2631"/>
      <c r="T49" s="2631"/>
      <c r="U49" s="2641"/>
    </row>
    <row r="50" spans="1:27" ht="16" hidden="1" thickBot="1" x14ac:dyDescent="0.4">
      <c r="A50" s="1179"/>
      <c r="B50" s="1117" t="s">
        <v>582</v>
      </c>
      <c r="C50" s="1188"/>
      <c r="D50" s="2750" t="s">
        <v>456</v>
      </c>
      <c r="E50" s="2750" t="s">
        <v>495</v>
      </c>
      <c r="F50" s="2750" t="s">
        <v>116</v>
      </c>
      <c r="G50" s="2751"/>
      <c r="H50" s="2641">
        <f t="shared" si="1"/>
        <v>0</v>
      </c>
      <c r="I50" s="2642">
        <f t="shared" si="1"/>
        <v>659.56200000000001</v>
      </c>
      <c r="J50" s="2643">
        <f t="shared" si="1"/>
        <v>725.51900000000001</v>
      </c>
      <c r="K50" s="2631"/>
      <c r="L50" s="2631"/>
      <c r="M50" s="2631"/>
      <c r="N50" s="2644"/>
      <c r="O50" s="2631"/>
      <c r="P50" s="2631"/>
      <c r="Q50" s="2631"/>
      <c r="R50" s="2631"/>
      <c r="S50" s="2631"/>
      <c r="T50" s="2631"/>
      <c r="U50" s="2641"/>
    </row>
    <row r="51" spans="1:27" ht="32" hidden="1" thickBot="1" x14ac:dyDescent="0.4">
      <c r="A51" s="1179"/>
      <c r="B51" s="1117" t="s">
        <v>589</v>
      </c>
      <c r="C51" s="1188"/>
      <c r="D51" s="2750" t="s">
        <v>456</v>
      </c>
      <c r="E51" s="2750" t="s">
        <v>495</v>
      </c>
      <c r="F51" s="2750" t="s">
        <v>113</v>
      </c>
      <c r="G51" s="2751"/>
      <c r="H51" s="2641">
        <f t="shared" si="1"/>
        <v>0</v>
      </c>
      <c r="I51" s="2642">
        <f t="shared" si="1"/>
        <v>659.56200000000001</v>
      </c>
      <c r="J51" s="2643">
        <f t="shared" si="1"/>
        <v>725.51900000000001</v>
      </c>
      <c r="K51" s="2631"/>
      <c r="L51" s="2631"/>
      <c r="M51" s="2631"/>
      <c r="N51" s="2644"/>
      <c r="O51" s="2631"/>
      <c r="P51" s="2631"/>
      <c r="Q51" s="2631"/>
      <c r="R51" s="2631"/>
      <c r="S51" s="2631"/>
      <c r="T51" s="2631"/>
      <c r="U51" s="2641"/>
    </row>
    <row r="52" spans="1:27" ht="21.5" hidden="1" thickBot="1" x14ac:dyDescent="0.4">
      <c r="A52" s="842"/>
      <c r="B52" s="1182" t="s">
        <v>571</v>
      </c>
      <c r="C52" s="1183"/>
      <c r="D52" s="2750" t="s">
        <v>456</v>
      </c>
      <c r="E52" s="2750" t="s">
        <v>495</v>
      </c>
      <c r="F52" s="2750" t="s">
        <v>113</v>
      </c>
      <c r="G52" s="2751" t="s">
        <v>5</v>
      </c>
      <c r="H52" s="2641"/>
      <c r="I52" s="2642">
        <v>659.56200000000001</v>
      </c>
      <c r="J52" s="2645">
        <v>725.51900000000001</v>
      </c>
      <c r="K52" s="2631">
        <v>0</v>
      </c>
      <c r="L52" s="2631"/>
      <c r="M52" s="2631"/>
      <c r="N52" s="2644"/>
      <c r="O52" s="2631"/>
      <c r="P52" s="2631"/>
      <c r="Q52" s="2631"/>
      <c r="R52" s="2631"/>
      <c r="S52" s="2631"/>
      <c r="T52" s="2631"/>
      <c r="U52" s="2641"/>
    </row>
    <row r="53" spans="1:27" ht="21.5" hidden="1" thickBot="1" x14ac:dyDescent="0.4">
      <c r="A53" s="842"/>
      <c r="B53" s="1117" t="s">
        <v>122</v>
      </c>
      <c r="C53" s="1189"/>
      <c r="D53" s="2750" t="s">
        <v>456</v>
      </c>
      <c r="E53" s="2750" t="s">
        <v>585</v>
      </c>
      <c r="F53" s="2750"/>
      <c r="G53" s="2751"/>
      <c r="H53" s="2641"/>
      <c r="I53" s="2642">
        <f t="shared" ref="H53:J57" si="2">I54</f>
        <v>0</v>
      </c>
      <c r="J53" s="2645">
        <f t="shared" si="2"/>
        <v>0</v>
      </c>
      <c r="K53" s="2631"/>
      <c r="L53" s="2631"/>
      <c r="M53" s="2631"/>
      <c r="N53" s="2644"/>
      <c r="O53" s="2631"/>
      <c r="P53" s="2631"/>
      <c r="Q53" s="2631"/>
      <c r="R53" s="2631"/>
      <c r="S53" s="2631"/>
      <c r="T53" s="2631"/>
      <c r="U53" s="2641"/>
    </row>
    <row r="54" spans="1:27" ht="32" hidden="1" thickBot="1" x14ac:dyDescent="0.4">
      <c r="A54" s="1179"/>
      <c r="B54" s="753" t="s">
        <v>588</v>
      </c>
      <c r="C54" s="1180"/>
      <c r="D54" s="2750" t="s">
        <v>456</v>
      </c>
      <c r="E54" s="2750" t="s">
        <v>585</v>
      </c>
      <c r="F54" s="2750" t="s">
        <v>157</v>
      </c>
      <c r="G54" s="2751"/>
      <c r="H54" s="2641">
        <f t="shared" si="2"/>
        <v>0</v>
      </c>
      <c r="I54" s="2642">
        <f t="shared" si="2"/>
        <v>0</v>
      </c>
      <c r="J54" s="2645">
        <f t="shared" si="2"/>
        <v>0</v>
      </c>
      <c r="K54" s="2631"/>
      <c r="L54" s="2631"/>
      <c r="M54" s="2631"/>
      <c r="N54" s="2644">
        <f t="shared" ref="N54:N57" si="3">N55</f>
        <v>0</v>
      </c>
      <c r="O54" s="2631"/>
      <c r="P54" s="2631"/>
      <c r="Q54" s="2631"/>
      <c r="R54" s="2631"/>
      <c r="S54" s="2631"/>
      <c r="T54" s="2631"/>
      <c r="U54" s="2641">
        <f t="shared" ref="U54:U57" si="4">U55</f>
        <v>0</v>
      </c>
    </row>
    <row r="55" spans="1:27" ht="21.5" hidden="1" thickBot="1" x14ac:dyDescent="0.4">
      <c r="A55" s="842"/>
      <c r="B55" s="753" t="s">
        <v>587</v>
      </c>
      <c r="C55" s="1180"/>
      <c r="D55" s="2750" t="s">
        <v>456</v>
      </c>
      <c r="E55" s="2750" t="s">
        <v>585</v>
      </c>
      <c r="F55" s="2750" t="s">
        <v>155</v>
      </c>
      <c r="G55" s="2751"/>
      <c r="H55" s="2641">
        <f t="shared" si="2"/>
        <v>0</v>
      </c>
      <c r="I55" s="2642">
        <f t="shared" si="2"/>
        <v>0</v>
      </c>
      <c r="J55" s="2645">
        <f t="shared" si="2"/>
        <v>0</v>
      </c>
      <c r="K55" s="2631"/>
      <c r="L55" s="2631"/>
      <c r="M55" s="2631"/>
      <c r="N55" s="2644">
        <f t="shared" si="3"/>
        <v>0</v>
      </c>
      <c r="O55" s="2631"/>
      <c r="P55" s="2631"/>
      <c r="Q55" s="2631"/>
      <c r="R55" s="2631"/>
      <c r="S55" s="2631"/>
      <c r="T55" s="2631"/>
      <c r="U55" s="2641">
        <f t="shared" si="4"/>
        <v>0</v>
      </c>
    </row>
    <row r="56" spans="1:27" ht="16" hidden="1" thickBot="1" x14ac:dyDescent="0.4">
      <c r="A56" s="842"/>
      <c r="B56" s="753" t="s">
        <v>582</v>
      </c>
      <c r="C56" s="1180"/>
      <c r="D56" s="2750" t="s">
        <v>456</v>
      </c>
      <c r="E56" s="2750" t="s">
        <v>585</v>
      </c>
      <c r="F56" s="2750" t="s">
        <v>154</v>
      </c>
      <c r="G56" s="2751"/>
      <c r="H56" s="2641">
        <f t="shared" si="2"/>
        <v>0</v>
      </c>
      <c r="I56" s="2642">
        <f t="shared" si="2"/>
        <v>0</v>
      </c>
      <c r="J56" s="2645">
        <f t="shared" si="2"/>
        <v>0</v>
      </c>
      <c r="K56" s="2631"/>
      <c r="L56" s="2631"/>
      <c r="M56" s="2631"/>
      <c r="N56" s="2644">
        <f t="shared" si="3"/>
        <v>0</v>
      </c>
      <c r="O56" s="2631"/>
      <c r="P56" s="2631"/>
      <c r="Q56" s="2631"/>
      <c r="R56" s="2631"/>
      <c r="S56" s="2631"/>
      <c r="T56" s="2631"/>
      <c r="U56" s="2641">
        <f t="shared" si="4"/>
        <v>0</v>
      </c>
    </row>
    <row r="57" spans="1:27" ht="32" hidden="1" thickBot="1" x14ac:dyDescent="0.4">
      <c r="A57" s="842"/>
      <c r="B57" s="1117" t="s">
        <v>586</v>
      </c>
      <c r="C57" s="1188"/>
      <c r="D57" s="2750" t="s">
        <v>456</v>
      </c>
      <c r="E57" s="2750" t="s">
        <v>585</v>
      </c>
      <c r="F57" s="2750" t="s">
        <v>129</v>
      </c>
      <c r="G57" s="2751"/>
      <c r="H57" s="2641">
        <f t="shared" si="2"/>
        <v>0</v>
      </c>
      <c r="I57" s="2642">
        <f t="shared" si="2"/>
        <v>0</v>
      </c>
      <c r="J57" s="2645">
        <f t="shared" si="2"/>
        <v>0</v>
      </c>
      <c r="K57" s="2631"/>
      <c r="L57" s="2631"/>
      <c r="M57" s="2631"/>
      <c r="N57" s="2644">
        <f t="shared" si="3"/>
        <v>0</v>
      </c>
      <c r="O57" s="2631"/>
      <c r="P57" s="2631"/>
      <c r="Q57" s="2631"/>
      <c r="R57" s="2631"/>
      <c r="S57" s="2631"/>
      <c r="T57" s="2631"/>
      <c r="U57" s="2641">
        <f t="shared" si="4"/>
        <v>0</v>
      </c>
    </row>
    <row r="58" spans="1:27" ht="16" hidden="1" thickBot="1" x14ac:dyDescent="0.4">
      <c r="A58" s="1190"/>
      <c r="B58" s="1191" t="s">
        <v>575</v>
      </c>
      <c r="C58" s="1192"/>
      <c r="D58" s="2752" t="s">
        <v>456</v>
      </c>
      <c r="E58" s="2752" t="s">
        <v>585</v>
      </c>
      <c r="F58" s="2752" t="s">
        <v>129</v>
      </c>
      <c r="G58" s="2753" t="s">
        <v>120</v>
      </c>
      <c r="H58" s="2650"/>
      <c r="I58" s="2651"/>
      <c r="J58" s="2652"/>
      <c r="K58" s="2631"/>
      <c r="L58" s="2631"/>
      <c r="M58" s="2631"/>
      <c r="N58" s="2653"/>
      <c r="O58" s="2631"/>
      <c r="P58" s="2631"/>
      <c r="Q58" s="2631"/>
      <c r="R58" s="2631"/>
      <c r="S58" s="2631"/>
      <c r="T58" s="2631"/>
      <c r="U58" s="2650"/>
    </row>
    <row r="59" spans="1:27" ht="23.5" hidden="1" thickBot="1" x14ac:dyDescent="0.4">
      <c r="A59" s="1168">
        <v>2</v>
      </c>
      <c r="B59" s="1171" t="s">
        <v>584</v>
      </c>
      <c r="C59" s="1161" t="s">
        <v>430</v>
      </c>
      <c r="D59" s="2744"/>
      <c r="E59" s="2744"/>
      <c r="F59" s="2744"/>
      <c r="G59" s="2745"/>
      <c r="H59" s="2622">
        <f>H60+H136+H174+H246+H404+H426+H453+H472+H126</f>
        <v>143634.66543000002</v>
      </c>
      <c r="I59" s="2633">
        <f>I60+I136+I174+I246+I404+I426+I453+I472+I126</f>
        <v>33621.64</v>
      </c>
      <c r="J59" s="2635">
        <f>J60+J136+J174+J246+J404+J426+J453+J472+J126</f>
        <v>31233.512999999999</v>
      </c>
      <c r="K59" s="2631"/>
      <c r="L59" s="2631"/>
      <c r="M59" s="2631"/>
      <c r="N59" s="2626">
        <f>N60+N136+N174+N246+N404+N426+N453+N472+N126</f>
        <v>103181.743</v>
      </c>
      <c r="O59" s="2631"/>
      <c r="P59" s="2631"/>
      <c r="Q59" s="2631"/>
      <c r="R59" s="2631"/>
      <c r="S59" s="2631"/>
      <c r="T59" s="2631"/>
      <c r="U59" s="2622">
        <f>U60+U136+U174+U246+U404+U426+U453+U472+U126</f>
        <v>97612.633000000002</v>
      </c>
    </row>
    <row r="60" spans="1:27" ht="16" hidden="1" thickBot="1" x14ac:dyDescent="0.4">
      <c r="A60" s="1841"/>
      <c r="B60" s="1842" t="s">
        <v>431</v>
      </c>
      <c r="C60" s="1843"/>
      <c r="D60" s="2746" t="s">
        <v>456</v>
      </c>
      <c r="E60" s="2746" t="s">
        <v>459</v>
      </c>
      <c r="F60" s="2746"/>
      <c r="G60" s="2747"/>
      <c r="H60" s="2628">
        <f>H61+H99+H106+H92</f>
        <v>29251.939000000002</v>
      </c>
      <c r="I60" s="2654">
        <f>I61+I99+I106</f>
        <v>15821.640000000001</v>
      </c>
      <c r="J60" s="2655">
        <f>J61+J99+J106</f>
        <v>16796.02</v>
      </c>
      <c r="K60" s="2631"/>
      <c r="L60" s="2631"/>
      <c r="M60" s="2631"/>
      <c r="N60" s="2632">
        <f>N61+N99+N106+N92</f>
        <v>26739.2055</v>
      </c>
      <c r="O60" s="2631"/>
      <c r="P60" s="2631"/>
      <c r="Q60" s="2631"/>
      <c r="R60" s="2631"/>
      <c r="S60" s="2631"/>
      <c r="T60" s="2631"/>
      <c r="U60" s="2628">
        <f>U61+U99+U106+U92</f>
        <v>27902.480819999997</v>
      </c>
    </row>
    <row r="61" spans="1:27" ht="35.5" x14ac:dyDescent="0.35">
      <c r="A61" s="1848"/>
      <c r="B61" s="1849" t="s">
        <v>105</v>
      </c>
      <c r="C61" s="1850"/>
      <c r="D61" s="2754" t="s">
        <v>456</v>
      </c>
      <c r="E61" s="2754" t="s">
        <v>452</v>
      </c>
      <c r="F61" s="2754"/>
      <c r="G61" s="2755"/>
      <c r="H61" s="2656">
        <f>H62</f>
        <v>23655.939000000002</v>
      </c>
      <c r="I61" s="2657">
        <f>I62</f>
        <v>15223.140000000001</v>
      </c>
      <c r="J61" s="2658">
        <f>J62</f>
        <v>16197.52</v>
      </c>
      <c r="K61" s="2625">
        <f>K67+K69+K71+K74+K77+K84+K91</f>
        <v>17500.908000000003</v>
      </c>
      <c r="L61" s="2625">
        <f>18156.908</f>
        <v>18156.907999999999</v>
      </c>
      <c r="M61" s="2625">
        <f>L61-K61</f>
        <v>655.99999999999636</v>
      </c>
      <c r="N61" s="2659">
        <f>N62</f>
        <v>24239.2055</v>
      </c>
      <c r="O61" s="2625"/>
      <c r="P61" s="2625"/>
      <c r="Q61" s="2625"/>
      <c r="R61" s="2625"/>
      <c r="S61" s="2625"/>
      <c r="T61" s="2625"/>
      <c r="U61" s="2656">
        <f>U62</f>
        <v>25252.480819999997</v>
      </c>
      <c r="V61" s="237"/>
      <c r="AA61" s="1857"/>
    </row>
    <row r="62" spans="1:27" ht="28.5" customHeight="1" x14ac:dyDescent="0.35">
      <c r="A62" s="1179"/>
      <c r="B62" s="753" t="s">
        <v>583</v>
      </c>
      <c r="C62" s="1180"/>
      <c r="D62" s="2750" t="s">
        <v>456</v>
      </c>
      <c r="E62" s="2750" t="s">
        <v>452</v>
      </c>
      <c r="F62" s="2750" t="s">
        <v>157</v>
      </c>
      <c r="G62" s="2751"/>
      <c r="H62" s="2641">
        <f>H63+H80</f>
        <v>23655.939000000002</v>
      </c>
      <c r="I62" s="2642">
        <f>I63+I80</f>
        <v>15223.140000000001</v>
      </c>
      <c r="J62" s="2643">
        <f>J63+J80</f>
        <v>16197.52</v>
      </c>
      <c r="K62" s="2631"/>
      <c r="L62" s="2631"/>
      <c r="M62" s="2631"/>
      <c r="N62" s="2644">
        <f>N63+N80</f>
        <v>24239.2055</v>
      </c>
      <c r="O62" s="2631"/>
      <c r="P62" s="2631"/>
      <c r="Q62" s="2631"/>
      <c r="R62" s="2631"/>
      <c r="S62" s="2631"/>
      <c r="T62" s="2631"/>
      <c r="U62" s="2641">
        <f>U63+U80</f>
        <v>25252.480819999997</v>
      </c>
      <c r="V62" s="237"/>
    </row>
    <row r="63" spans="1:27" ht="30.75" customHeight="1" x14ac:dyDescent="0.35">
      <c r="A63" s="842"/>
      <c r="B63" s="1197" t="s">
        <v>156</v>
      </c>
      <c r="C63" s="1180"/>
      <c r="D63" s="2750" t="s">
        <v>456</v>
      </c>
      <c r="E63" s="2750" t="s">
        <v>452</v>
      </c>
      <c r="F63" s="2750" t="s">
        <v>155</v>
      </c>
      <c r="G63" s="2751"/>
      <c r="H63" s="2641">
        <f>H64</f>
        <v>21521.575000000001</v>
      </c>
      <c r="I63" s="2642">
        <f>I64</f>
        <v>13595.477000000001</v>
      </c>
      <c r="J63" s="2643">
        <f>J64</f>
        <v>14414.787</v>
      </c>
      <c r="K63" s="2631"/>
      <c r="L63" s="2631"/>
      <c r="M63" s="2631"/>
      <c r="N63" s="2644">
        <f>N64</f>
        <v>22019.467499999999</v>
      </c>
      <c r="O63" s="2631"/>
      <c r="P63" s="2631"/>
      <c r="Q63" s="2631"/>
      <c r="R63" s="2631"/>
      <c r="S63" s="2631"/>
      <c r="T63" s="2631"/>
      <c r="U63" s="2641">
        <f>U64</f>
        <v>22943.953819999999</v>
      </c>
    </row>
    <row r="64" spans="1:27" x14ac:dyDescent="0.35">
      <c r="A64" s="842"/>
      <c r="B64" s="753" t="s">
        <v>582</v>
      </c>
      <c r="C64" s="1180"/>
      <c r="D64" s="2750" t="s">
        <v>456</v>
      </c>
      <c r="E64" s="2750" t="s">
        <v>452</v>
      </c>
      <c r="F64" s="2750" t="s">
        <v>154</v>
      </c>
      <c r="G64" s="2751"/>
      <c r="H64" s="2641">
        <f>H65+H72+H75+H78</f>
        <v>21521.575000000001</v>
      </c>
      <c r="I64" s="2642">
        <f>I65+I72+I75+I78</f>
        <v>13595.477000000001</v>
      </c>
      <c r="J64" s="2643">
        <f>J65+J72+J75+J78</f>
        <v>14414.787</v>
      </c>
      <c r="K64" s="2631"/>
      <c r="L64" s="2631"/>
      <c r="M64" s="2631"/>
      <c r="N64" s="2644">
        <f>N65+N72+N75+N78</f>
        <v>22019.467499999999</v>
      </c>
      <c r="O64" s="2631"/>
      <c r="P64" s="2631"/>
      <c r="Q64" s="2631"/>
      <c r="R64" s="2631"/>
      <c r="S64" s="2631"/>
      <c r="T64" s="2631"/>
      <c r="U64" s="2641">
        <f>U65+U72+U75+U78</f>
        <v>22943.953819999999</v>
      </c>
    </row>
    <row r="65" spans="1:21" x14ac:dyDescent="0.35">
      <c r="A65" s="842"/>
      <c r="B65" s="1197" t="s">
        <v>153</v>
      </c>
      <c r="C65" s="1188"/>
      <c r="D65" s="2750" t="s">
        <v>456</v>
      </c>
      <c r="E65" s="2750" t="s">
        <v>452</v>
      </c>
      <c r="F65" s="2750" t="s">
        <v>152</v>
      </c>
      <c r="G65" s="2751"/>
      <c r="H65" s="2641">
        <f>H67+H69+H71</f>
        <v>21148.864000000001</v>
      </c>
      <c r="I65" s="2642">
        <f>I67+I69</f>
        <v>13595.477000000001</v>
      </c>
      <c r="J65" s="2643">
        <f>J67+J69</f>
        <v>14414.787</v>
      </c>
      <c r="K65" s="2631"/>
      <c r="L65" s="2631"/>
      <c r="M65" s="2631"/>
      <c r="N65" s="2644">
        <f>N67+N69+N71</f>
        <v>22019.467499999999</v>
      </c>
      <c r="O65" s="2631"/>
      <c r="P65" s="2631"/>
      <c r="Q65" s="2631"/>
      <c r="R65" s="2631"/>
      <c r="S65" s="2631"/>
      <c r="T65" s="2631"/>
      <c r="U65" s="2641">
        <f>U67+U69+U71</f>
        <v>22943.953819999999</v>
      </c>
    </row>
    <row r="66" spans="1:21" ht="52" x14ac:dyDescent="0.35">
      <c r="A66" s="842"/>
      <c r="B66" s="49" t="s">
        <v>1063</v>
      </c>
      <c r="C66" s="1188"/>
      <c r="D66" s="2750" t="s">
        <v>456</v>
      </c>
      <c r="E66" s="2750" t="s">
        <v>452</v>
      </c>
      <c r="F66" s="2750" t="s">
        <v>152</v>
      </c>
      <c r="G66" s="2751" t="s">
        <v>1062</v>
      </c>
      <c r="H66" s="2641">
        <f>H67</f>
        <v>19071.116000000002</v>
      </c>
      <c r="I66" s="2642"/>
      <c r="J66" s="2649"/>
      <c r="K66" s="2631"/>
      <c r="L66" s="2631"/>
      <c r="M66" s="2631"/>
      <c r="N66" s="2644">
        <f t="shared" ref="N66:U66" si="5">N67</f>
        <v>19833.96</v>
      </c>
      <c r="O66" s="2631">
        <f t="shared" si="5"/>
        <v>0</v>
      </c>
      <c r="P66" s="2631">
        <f t="shared" si="5"/>
        <v>0</v>
      </c>
      <c r="Q66" s="2631">
        <f t="shared" si="5"/>
        <v>0</v>
      </c>
      <c r="R66" s="2631">
        <f t="shared" si="5"/>
        <v>0</v>
      </c>
      <c r="S66" s="2631">
        <f t="shared" si="5"/>
        <v>0</v>
      </c>
      <c r="T66" s="2631">
        <f t="shared" si="5"/>
        <v>0</v>
      </c>
      <c r="U66" s="2641">
        <f t="shared" si="5"/>
        <v>20627.316999999999</v>
      </c>
    </row>
    <row r="67" spans="1:21" ht="21" x14ac:dyDescent="0.35">
      <c r="A67" s="842"/>
      <c r="B67" s="1182" t="s">
        <v>571</v>
      </c>
      <c r="C67" s="1183"/>
      <c r="D67" s="2750" t="s">
        <v>456</v>
      </c>
      <c r="E67" s="2750" t="s">
        <v>452</v>
      </c>
      <c r="F67" s="2750" t="s">
        <v>152</v>
      </c>
      <c r="G67" s="2751" t="s">
        <v>5</v>
      </c>
      <c r="H67" s="2641">
        <v>19071.116000000002</v>
      </c>
      <c r="I67" s="2642">
        <v>8998.8070000000007</v>
      </c>
      <c r="J67" s="2645">
        <v>9997.6880000000001</v>
      </c>
      <c r="K67" s="2631">
        <f>11012.345+22.735+0.6+3325.728-618.8</f>
        <v>13742.608</v>
      </c>
      <c r="L67" s="2631"/>
      <c r="M67" s="2631"/>
      <c r="N67" s="2644">
        <v>19833.96</v>
      </c>
      <c r="O67" s="2631"/>
      <c r="P67" s="2631"/>
      <c r="Q67" s="2631"/>
      <c r="R67" s="2631"/>
      <c r="S67" s="2631"/>
      <c r="T67" s="2631"/>
      <c r="U67" s="2641">
        <v>20627.316999999999</v>
      </c>
    </row>
    <row r="68" spans="1:21" ht="21" x14ac:dyDescent="0.35">
      <c r="A68" s="842"/>
      <c r="B68" s="753" t="s">
        <v>948</v>
      </c>
      <c r="C68" s="1183"/>
      <c r="D68" s="2750" t="s">
        <v>456</v>
      </c>
      <c r="E68" s="2750" t="s">
        <v>452</v>
      </c>
      <c r="F68" s="2750" t="s">
        <v>152</v>
      </c>
      <c r="G68" s="2751" t="s">
        <v>955</v>
      </c>
      <c r="H68" s="2641">
        <f>H69</f>
        <v>2076.7479999999996</v>
      </c>
      <c r="I68" s="2642"/>
      <c r="J68" s="2645"/>
      <c r="K68" s="2631"/>
      <c r="L68" s="2631"/>
      <c r="M68" s="2631"/>
      <c r="N68" s="2644">
        <f>N69</f>
        <v>2185.5075000000002</v>
      </c>
      <c r="O68" s="2631"/>
      <c r="P68" s="2631"/>
      <c r="Q68" s="2631"/>
      <c r="R68" s="2631"/>
      <c r="S68" s="2631"/>
      <c r="T68" s="2631"/>
      <c r="U68" s="2641">
        <f>U69</f>
        <v>2316.6368200000002</v>
      </c>
    </row>
    <row r="69" spans="1:21" ht="21" x14ac:dyDescent="0.35">
      <c r="A69" s="842"/>
      <c r="B69" s="1182" t="s">
        <v>454</v>
      </c>
      <c r="C69" s="1183"/>
      <c r="D69" s="2750" t="s">
        <v>456</v>
      </c>
      <c r="E69" s="2750" t="s">
        <v>452</v>
      </c>
      <c r="F69" s="2750" t="s">
        <v>152</v>
      </c>
      <c r="G69" s="2751" t="s">
        <v>1</v>
      </c>
      <c r="H69" s="2641">
        <f>2900.435-449.976-309.8-62.911-1</f>
        <v>2076.7479999999996</v>
      </c>
      <c r="I69" s="2642">
        <v>4596.67</v>
      </c>
      <c r="J69" s="2645">
        <v>4417.0990000000002</v>
      </c>
      <c r="K69" s="2647">
        <f>1845.107-350.262-37.2</f>
        <v>1457.645</v>
      </c>
      <c r="L69" s="2631"/>
      <c r="M69" s="2631"/>
      <c r="N69" s="2644">
        <f>3074.4605-888.953</f>
        <v>2185.5075000000002</v>
      </c>
      <c r="O69" s="2631"/>
      <c r="P69" s="2631"/>
      <c r="Q69" s="2631"/>
      <c r="R69" s="2631"/>
      <c r="S69" s="2631"/>
      <c r="T69" s="2631"/>
      <c r="U69" s="2641">
        <v>2316.6368200000002</v>
      </c>
    </row>
    <row r="70" spans="1:21" x14ac:dyDescent="0.35">
      <c r="A70" s="842"/>
      <c r="B70" s="1198" t="s">
        <v>1068</v>
      </c>
      <c r="C70" s="1183"/>
      <c r="D70" s="2750" t="s">
        <v>456</v>
      </c>
      <c r="E70" s="2750" t="s">
        <v>452</v>
      </c>
      <c r="F70" s="2750" t="s">
        <v>152</v>
      </c>
      <c r="G70" s="2751" t="s">
        <v>1064</v>
      </c>
      <c r="H70" s="2641">
        <f t="shared" ref="H70:U70" si="6">H71</f>
        <v>1</v>
      </c>
      <c r="I70" s="2642">
        <f t="shared" si="6"/>
        <v>0</v>
      </c>
      <c r="J70" s="2645">
        <f t="shared" si="6"/>
        <v>0</v>
      </c>
      <c r="K70" s="2647">
        <f t="shared" si="6"/>
        <v>10</v>
      </c>
      <c r="L70" s="2631">
        <f t="shared" si="6"/>
        <v>0</v>
      </c>
      <c r="M70" s="2631">
        <f t="shared" si="6"/>
        <v>0</v>
      </c>
      <c r="N70" s="2644">
        <f t="shared" si="6"/>
        <v>0</v>
      </c>
      <c r="O70" s="2631">
        <f t="shared" si="6"/>
        <v>0</v>
      </c>
      <c r="P70" s="2631">
        <f t="shared" si="6"/>
        <v>0</v>
      </c>
      <c r="Q70" s="2631">
        <f t="shared" si="6"/>
        <v>0</v>
      </c>
      <c r="R70" s="2631">
        <f t="shared" si="6"/>
        <v>0</v>
      </c>
      <c r="S70" s="2631">
        <f t="shared" si="6"/>
        <v>0</v>
      </c>
      <c r="T70" s="2631">
        <f t="shared" si="6"/>
        <v>0</v>
      </c>
      <c r="U70" s="2641">
        <f t="shared" si="6"/>
        <v>0</v>
      </c>
    </row>
    <row r="71" spans="1:21" x14ac:dyDescent="0.35">
      <c r="A71" s="842"/>
      <c r="B71" s="1198" t="s">
        <v>457</v>
      </c>
      <c r="C71" s="1183"/>
      <c r="D71" s="2750" t="s">
        <v>456</v>
      </c>
      <c r="E71" s="2750" t="s">
        <v>452</v>
      </c>
      <c r="F71" s="2750" t="s">
        <v>152</v>
      </c>
      <c r="G71" s="2751" t="s">
        <v>91</v>
      </c>
      <c r="H71" s="2641">
        <v>1</v>
      </c>
      <c r="I71" s="2642"/>
      <c r="J71" s="2645"/>
      <c r="K71" s="2647">
        <v>10</v>
      </c>
      <c r="L71" s="2631"/>
      <c r="M71" s="2631"/>
      <c r="N71" s="2644">
        <v>0</v>
      </c>
      <c r="O71" s="2631"/>
      <c r="P71" s="2631"/>
      <c r="Q71" s="2631"/>
      <c r="R71" s="2631"/>
      <c r="S71" s="2631"/>
      <c r="T71" s="2631"/>
      <c r="U71" s="2641">
        <v>0</v>
      </c>
    </row>
    <row r="72" spans="1:21" ht="32.5" x14ac:dyDescent="0.35">
      <c r="A72" s="842"/>
      <c r="B72" s="1199" t="s">
        <v>151</v>
      </c>
      <c r="C72" s="1188"/>
      <c r="D72" s="2750" t="s">
        <v>456</v>
      </c>
      <c r="E72" s="2750" t="s">
        <v>452</v>
      </c>
      <c r="F72" s="2750" t="s">
        <v>623</v>
      </c>
      <c r="G72" s="2751"/>
      <c r="H72" s="2660">
        <f>H74</f>
        <v>62.911000000000001</v>
      </c>
      <c r="I72" s="2661">
        <f>I74</f>
        <v>0</v>
      </c>
      <c r="J72" s="2662">
        <f>J74</f>
        <v>0</v>
      </c>
      <c r="K72" s="2631"/>
      <c r="L72" s="2631"/>
      <c r="M72" s="2631"/>
      <c r="N72" s="2663">
        <f>N74</f>
        <v>0</v>
      </c>
      <c r="O72" s="2631"/>
      <c r="P72" s="2631"/>
      <c r="Q72" s="2631"/>
      <c r="R72" s="2631"/>
      <c r="S72" s="2631"/>
      <c r="T72" s="2631"/>
      <c r="U72" s="2660">
        <f>U74</f>
        <v>0</v>
      </c>
    </row>
    <row r="73" spans="1:21" x14ac:dyDescent="0.35">
      <c r="A73" s="842"/>
      <c r="B73" s="1199" t="s">
        <v>1069</v>
      </c>
      <c r="C73" s="1188"/>
      <c r="D73" s="2750" t="s">
        <v>456</v>
      </c>
      <c r="E73" s="2750" t="s">
        <v>452</v>
      </c>
      <c r="F73" s="2750" t="s">
        <v>623</v>
      </c>
      <c r="G73" s="2751" t="s">
        <v>1066</v>
      </c>
      <c r="H73" s="2660">
        <f t="shared" ref="H73:U73" si="7">H74</f>
        <v>62.911000000000001</v>
      </c>
      <c r="I73" s="2661">
        <f t="shared" si="7"/>
        <v>0</v>
      </c>
      <c r="J73" s="2662">
        <f t="shared" si="7"/>
        <v>0</v>
      </c>
      <c r="K73" s="2631">
        <f t="shared" si="7"/>
        <v>50.6</v>
      </c>
      <c r="L73" s="2631">
        <f t="shared" si="7"/>
        <v>0</v>
      </c>
      <c r="M73" s="2631">
        <f t="shared" si="7"/>
        <v>0</v>
      </c>
      <c r="N73" s="2663">
        <f t="shared" si="7"/>
        <v>0</v>
      </c>
      <c r="O73" s="2631">
        <f t="shared" si="7"/>
        <v>0</v>
      </c>
      <c r="P73" s="2631">
        <f t="shared" si="7"/>
        <v>0</v>
      </c>
      <c r="Q73" s="2631">
        <f t="shared" si="7"/>
        <v>0</v>
      </c>
      <c r="R73" s="2631">
        <f t="shared" si="7"/>
        <v>0</v>
      </c>
      <c r="S73" s="2631">
        <f t="shared" si="7"/>
        <v>0</v>
      </c>
      <c r="T73" s="2631">
        <f t="shared" si="7"/>
        <v>0</v>
      </c>
      <c r="U73" s="2660">
        <f t="shared" si="7"/>
        <v>0</v>
      </c>
    </row>
    <row r="74" spans="1:21" x14ac:dyDescent="0.35">
      <c r="A74" s="842"/>
      <c r="B74" s="1182" t="s">
        <v>575</v>
      </c>
      <c r="C74" s="1183"/>
      <c r="D74" s="2750" t="s">
        <v>456</v>
      </c>
      <c r="E74" s="2750" t="s">
        <v>452</v>
      </c>
      <c r="F74" s="2750" t="s">
        <v>623</v>
      </c>
      <c r="G74" s="2751" t="s">
        <v>120</v>
      </c>
      <c r="H74" s="2660">
        <v>62.911000000000001</v>
      </c>
      <c r="I74" s="2661"/>
      <c r="J74" s="2662"/>
      <c r="K74" s="2631">
        <v>50.6</v>
      </c>
      <c r="L74" s="2631"/>
      <c r="M74" s="2631"/>
      <c r="N74" s="2663">
        <v>0</v>
      </c>
      <c r="O74" s="2631"/>
      <c r="P74" s="2631"/>
      <c r="Q74" s="2631"/>
      <c r="R74" s="2631"/>
      <c r="S74" s="2631"/>
      <c r="T74" s="2631"/>
      <c r="U74" s="2660">
        <v>0</v>
      </c>
    </row>
    <row r="75" spans="1:21" ht="31.5" x14ac:dyDescent="0.35">
      <c r="A75" s="842"/>
      <c r="B75" s="1201" t="s">
        <v>149</v>
      </c>
      <c r="C75" s="1188"/>
      <c r="D75" s="2750" t="s">
        <v>456</v>
      </c>
      <c r="E75" s="2750" t="s">
        <v>452</v>
      </c>
      <c r="F75" s="2750" t="s">
        <v>148</v>
      </c>
      <c r="G75" s="2751"/>
      <c r="H75" s="2660">
        <f>H77</f>
        <v>309.8</v>
      </c>
      <c r="I75" s="2661">
        <f>I77</f>
        <v>0</v>
      </c>
      <c r="J75" s="2662">
        <f>J77</f>
        <v>0</v>
      </c>
      <c r="K75" s="2631"/>
      <c r="L75" s="2631"/>
      <c r="M75" s="2631"/>
      <c r="N75" s="2663">
        <f>N77</f>
        <v>0</v>
      </c>
      <c r="O75" s="2631"/>
      <c r="P75" s="2631"/>
      <c r="Q75" s="2631"/>
      <c r="R75" s="2631"/>
      <c r="S75" s="2631"/>
      <c r="T75" s="2631"/>
      <c r="U75" s="2660">
        <f>U77</f>
        <v>0</v>
      </c>
    </row>
    <row r="76" spans="1:21" x14ac:dyDescent="0.35">
      <c r="A76" s="842"/>
      <c r="B76" s="1201" t="s">
        <v>1069</v>
      </c>
      <c r="C76" s="1188"/>
      <c r="D76" s="2750" t="s">
        <v>456</v>
      </c>
      <c r="E76" s="2750" t="s">
        <v>452</v>
      </c>
      <c r="F76" s="2750" t="s">
        <v>148</v>
      </c>
      <c r="G76" s="2751" t="s">
        <v>1066</v>
      </c>
      <c r="H76" s="2660">
        <f t="shared" ref="H76:U76" si="8">H77</f>
        <v>309.8</v>
      </c>
      <c r="I76" s="2661">
        <f t="shared" si="8"/>
        <v>0</v>
      </c>
      <c r="J76" s="2662">
        <f t="shared" si="8"/>
        <v>0</v>
      </c>
      <c r="K76" s="2631">
        <f t="shared" si="8"/>
        <v>307.5</v>
      </c>
      <c r="L76" s="2631">
        <f t="shared" si="8"/>
        <v>0</v>
      </c>
      <c r="M76" s="2631">
        <f t="shared" si="8"/>
        <v>0</v>
      </c>
      <c r="N76" s="2663">
        <f t="shared" si="8"/>
        <v>0</v>
      </c>
      <c r="O76" s="2631">
        <f t="shared" si="8"/>
        <v>0</v>
      </c>
      <c r="P76" s="2631">
        <f t="shared" si="8"/>
        <v>0</v>
      </c>
      <c r="Q76" s="2631">
        <f t="shared" si="8"/>
        <v>0</v>
      </c>
      <c r="R76" s="2631">
        <f t="shared" si="8"/>
        <v>0</v>
      </c>
      <c r="S76" s="2631">
        <f t="shared" si="8"/>
        <v>0</v>
      </c>
      <c r="T76" s="2631">
        <f t="shared" si="8"/>
        <v>0</v>
      </c>
      <c r="U76" s="2660">
        <f t="shared" si="8"/>
        <v>0</v>
      </c>
    </row>
    <row r="77" spans="1:21" x14ac:dyDescent="0.35">
      <c r="A77" s="842"/>
      <c r="B77" s="1182" t="s">
        <v>575</v>
      </c>
      <c r="C77" s="1183"/>
      <c r="D77" s="2750" t="s">
        <v>456</v>
      </c>
      <c r="E77" s="2750" t="s">
        <v>452</v>
      </c>
      <c r="F77" s="2750" t="s">
        <v>148</v>
      </c>
      <c r="G77" s="2751" t="s">
        <v>120</v>
      </c>
      <c r="H77" s="2660">
        <v>309.8</v>
      </c>
      <c r="I77" s="2661"/>
      <c r="J77" s="2662"/>
      <c r="K77" s="2631">
        <v>307.5</v>
      </c>
      <c r="L77" s="2631"/>
      <c r="M77" s="2631"/>
      <c r="N77" s="2663">
        <v>0</v>
      </c>
      <c r="O77" s="2631"/>
      <c r="P77" s="2631"/>
      <c r="Q77" s="2631"/>
      <c r="R77" s="2631"/>
      <c r="S77" s="2631"/>
      <c r="T77" s="2631"/>
      <c r="U77" s="2660">
        <v>0</v>
      </c>
    </row>
    <row r="78" spans="1:21" ht="42" hidden="1" x14ac:dyDescent="0.35">
      <c r="A78" s="842"/>
      <c r="B78" s="1202" t="s">
        <v>145</v>
      </c>
      <c r="C78" s="1183"/>
      <c r="D78" s="2750" t="s">
        <v>456</v>
      </c>
      <c r="E78" s="2750" t="s">
        <v>452</v>
      </c>
      <c r="F78" s="2750" t="s">
        <v>144</v>
      </c>
      <c r="G78" s="2751"/>
      <c r="H78" s="2660">
        <f>H79</f>
        <v>0</v>
      </c>
      <c r="I78" s="2661">
        <f>I79</f>
        <v>0</v>
      </c>
      <c r="J78" s="2662">
        <f>J79</f>
        <v>0</v>
      </c>
      <c r="K78" s="2631"/>
      <c r="L78" s="2631"/>
      <c r="M78" s="2631"/>
      <c r="N78" s="2663">
        <f>N79</f>
        <v>0</v>
      </c>
      <c r="O78" s="2631"/>
      <c r="P78" s="2631"/>
      <c r="Q78" s="2631"/>
      <c r="R78" s="2631"/>
      <c r="S78" s="2631"/>
      <c r="T78" s="2631"/>
      <c r="U78" s="2660">
        <f>U79</f>
        <v>0</v>
      </c>
    </row>
    <row r="79" spans="1:21" hidden="1" x14ac:dyDescent="0.35">
      <c r="A79" s="842"/>
      <c r="B79" s="1182" t="s">
        <v>575</v>
      </c>
      <c r="C79" s="1183"/>
      <c r="D79" s="2750" t="s">
        <v>456</v>
      </c>
      <c r="E79" s="2750" t="s">
        <v>452</v>
      </c>
      <c r="F79" s="2750" t="s">
        <v>144</v>
      </c>
      <c r="G79" s="2751" t="s">
        <v>120</v>
      </c>
      <c r="H79" s="2660">
        <v>0</v>
      </c>
      <c r="I79" s="2661"/>
      <c r="J79" s="2662"/>
      <c r="K79" s="2631"/>
      <c r="L79" s="2631"/>
      <c r="M79" s="2631"/>
      <c r="N79" s="2663">
        <v>0</v>
      </c>
      <c r="O79" s="2631"/>
      <c r="P79" s="2631"/>
      <c r="Q79" s="2631"/>
      <c r="R79" s="2631"/>
      <c r="S79" s="2631"/>
      <c r="T79" s="2631"/>
      <c r="U79" s="2660">
        <v>0</v>
      </c>
    </row>
    <row r="80" spans="1:21" ht="42" x14ac:dyDescent="0.35">
      <c r="A80" s="842"/>
      <c r="B80" s="1203" t="s">
        <v>111</v>
      </c>
      <c r="C80" s="1183"/>
      <c r="D80" s="2750" t="s">
        <v>456</v>
      </c>
      <c r="E80" s="2750" t="s">
        <v>452</v>
      </c>
      <c r="F80" s="2756" t="s">
        <v>110</v>
      </c>
      <c r="G80" s="2751"/>
      <c r="H80" s="2660">
        <f>H81</f>
        <v>2134.364</v>
      </c>
      <c r="I80" s="2661">
        <f t="shared" ref="I80:J81" si="9">I81</f>
        <v>1627.663</v>
      </c>
      <c r="J80" s="2662">
        <f t="shared" si="9"/>
        <v>1782.7329999999999</v>
      </c>
      <c r="K80" s="2631"/>
      <c r="L80" s="2631"/>
      <c r="M80" s="2631"/>
      <c r="N80" s="2663">
        <f>N81</f>
        <v>2219.7379999999998</v>
      </c>
      <c r="O80" s="2631"/>
      <c r="P80" s="2631"/>
      <c r="Q80" s="2631"/>
      <c r="R80" s="2631"/>
      <c r="S80" s="2631"/>
      <c r="T80" s="2631"/>
      <c r="U80" s="2660">
        <f>U81</f>
        <v>2308.527</v>
      </c>
    </row>
    <row r="81" spans="1:21" x14ac:dyDescent="0.35">
      <c r="A81" s="842"/>
      <c r="B81" s="1197" t="s">
        <v>109</v>
      </c>
      <c r="C81" s="1183"/>
      <c r="D81" s="2750" t="s">
        <v>456</v>
      </c>
      <c r="E81" s="2750" t="s">
        <v>452</v>
      </c>
      <c r="F81" s="2756" t="s">
        <v>108</v>
      </c>
      <c r="G81" s="2751"/>
      <c r="H81" s="2660">
        <f>H82</f>
        <v>2134.364</v>
      </c>
      <c r="I81" s="2661">
        <f t="shared" si="9"/>
        <v>1627.663</v>
      </c>
      <c r="J81" s="2662">
        <f t="shared" si="9"/>
        <v>1782.7329999999999</v>
      </c>
      <c r="K81" s="2631"/>
      <c r="L81" s="2631"/>
      <c r="M81" s="2631"/>
      <c r="N81" s="2663">
        <f>N82</f>
        <v>2219.7379999999998</v>
      </c>
      <c r="O81" s="2631"/>
      <c r="P81" s="2631"/>
      <c r="Q81" s="2631"/>
      <c r="R81" s="2631"/>
      <c r="S81" s="2631"/>
      <c r="T81" s="2631"/>
      <c r="U81" s="2660">
        <f>U82</f>
        <v>2308.527</v>
      </c>
    </row>
    <row r="82" spans="1:21" ht="21" x14ac:dyDescent="0.35">
      <c r="A82" s="842"/>
      <c r="B82" s="1205" t="s">
        <v>107</v>
      </c>
      <c r="C82" s="1183"/>
      <c r="D82" s="2750" t="s">
        <v>456</v>
      </c>
      <c r="E82" s="2750" t="s">
        <v>452</v>
      </c>
      <c r="F82" s="2756" t="s">
        <v>104</v>
      </c>
      <c r="G82" s="2751"/>
      <c r="H82" s="2660">
        <f>H84</f>
        <v>2134.364</v>
      </c>
      <c r="I82" s="2661">
        <f>I84</f>
        <v>1627.663</v>
      </c>
      <c r="J82" s="2662">
        <f>J84</f>
        <v>1782.7329999999999</v>
      </c>
      <c r="K82" s="2631"/>
      <c r="L82" s="2631"/>
      <c r="M82" s="2631"/>
      <c r="N82" s="2663">
        <f>N84</f>
        <v>2219.7379999999998</v>
      </c>
      <c r="O82" s="2631"/>
      <c r="P82" s="2631"/>
      <c r="Q82" s="2631"/>
      <c r="R82" s="2631"/>
      <c r="S82" s="2631"/>
      <c r="T82" s="2631"/>
      <c r="U82" s="2660">
        <f>U84</f>
        <v>2308.527</v>
      </c>
    </row>
    <row r="83" spans="1:21" ht="52" x14ac:dyDescent="0.35">
      <c r="A83" s="842"/>
      <c r="B83" s="49" t="s">
        <v>1063</v>
      </c>
      <c r="C83" s="1183"/>
      <c r="D83" s="2750" t="s">
        <v>456</v>
      </c>
      <c r="E83" s="2750" t="s">
        <v>452</v>
      </c>
      <c r="F83" s="2756" t="s">
        <v>104</v>
      </c>
      <c r="G83" s="2751" t="s">
        <v>1062</v>
      </c>
      <c r="H83" s="2660">
        <f t="shared" ref="H83:U83" si="10">H84</f>
        <v>2134.364</v>
      </c>
      <c r="I83" s="2661">
        <f t="shared" si="10"/>
        <v>1627.663</v>
      </c>
      <c r="J83" s="2662">
        <f t="shared" si="10"/>
        <v>1782.7329999999999</v>
      </c>
      <c r="K83" s="2631">
        <f t="shared" si="10"/>
        <v>1512.6</v>
      </c>
      <c r="L83" s="2631">
        <f t="shared" si="10"/>
        <v>0</v>
      </c>
      <c r="M83" s="2631">
        <f t="shared" si="10"/>
        <v>0</v>
      </c>
      <c r="N83" s="2663">
        <f t="shared" si="10"/>
        <v>2219.7379999999998</v>
      </c>
      <c r="O83" s="2631">
        <f t="shared" si="10"/>
        <v>0</v>
      </c>
      <c r="P83" s="2631">
        <f t="shared" si="10"/>
        <v>0</v>
      </c>
      <c r="Q83" s="2631">
        <f t="shared" si="10"/>
        <v>0</v>
      </c>
      <c r="R83" s="2631">
        <f t="shared" si="10"/>
        <v>0</v>
      </c>
      <c r="S83" s="2631">
        <f t="shared" si="10"/>
        <v>0</v>
      </c>
      <c r="T83" s="2631">
        <f t="shared" si="10"/>
        <v>0</v>
      </c>
      <c r="U83" s="2660">
        <f t="shared" si="10"/>
        <v>2308.527</v>
      </c>
    </row>
    <row r="84" spans="1:21" ht="21" x14ac:dyDescent="0.35">
      <c r="A84" s="842"/>
      <c r="B84" s="1182" t="s">
        <v>571</v>
      </c>
      <c r="C84" s="1183"/>
      <c r="D84" s="2750" t="s">
        <v>456</v>
      </c>
      <c r="E84" s="2750" t="s">
        <v>452</v>
      </c>
      <c r="F84" s="2756" t="s">
        <v>104</v>
      </c>
      <c r="G84" s="2751" t="s">
        <v>5</v>
      </c>
      <c r="H84" s="2660">
        <v>2134.364</v>
      </c>
      <c r="I84" s="2661">
        <v>1627.663</v>
      </c>
      <c r="J84" s="2662">
        <v>1782.7329999999999</v>
      </c>
      <c r="K84" s="2631">
        <f>1161.751+350.849</f>
        <v>1512.6</v>
      </c>
      <c r="L84" s="2631"/>
      <c r="M84" s="2631"/>
      <c r="N84" s="2663">
        <v>2219.7379999999998</v>
      </c>
      <c r="O84" s="2631"/>
      <c r="P84" s="2631"/>
      <c r="Q84" s="2631"/>
      <c r="R84" s="2631"/>
      <c r="S84" s="2631"/>
      <c r="T84" s="2631"/>
      <c r="U84" s="2660">
        <v>2308.527</v>
      </c>
    </row>
    <row r="85" spans="1:21" s="760" customFormat="1" ht="34.5" x14ac:dyDescent="0.35">
      <c r="A85" s="842"/>
      <c r="B85" s="1206" t="s">
        <v>122</v>
      </c>
      <c r="C85" s="1207"/>
      <c r="D85" s="2750" t="s">
        <v>456</v>
      </c>
      <c r="E85" s="2750" t="s">
        <v>585</v>
      </c>
      <c r="F85" s="2756"/>
      <c r="G85" s="2751"/>
      <c r="H85" s="2660">
        <f>H86</f>
        <v>449.976</v>
      </c>
      <c r="I85" s="2661"/>
      <c r="J85" s="2662"/>
      <c r="K85" s="2631"/>
      <c r="L85" s="2631"/>
      <c r="M85" s="2631"/>
      <c r="N85" s="2663">
        <f t="shared" ref="N85:U88" si="11">N86</f>
        <v>0</v>
      </c>
      <c r="O85" s="2631">
        <f t="shared" si="11"/>
        <v>0</v>
      </c>
      <c r="P85" s="2631">
        <f t="shared" si="11"/>
        <v>0</v>
      </c>
      <c r="Q85" s="2631">
        <f t="shared" si="11"/>
        <v>0</v>
      </c>
      <c r="R85" s="2631">
        <f t="shared" si="11"/>
        <v>0</v>
      </c>
      <c r="S85" s="2631">
        <f t="shared" si="11"/>
        <v>0</v>
      </c>
      <c r="T85" s="2631">
        <f t="shared" si="11"/>
        <v>0</v>
      </c>
      <c r="U85" s="2660">
        <f t="shared" si="11"/>
        <v>0</v>
      </c>
    </row>
    <row r="86" spans="1:21" ht="31.5" x14ac:dyDescent="0.35">
      <c r="A86" s="842"/>
      <c r="B86" s="1209" t="s">
        <v>588</v>
      </c>
      <c r="C86" s="1183"/>
      <c r="D86" s="2750" t="s">
        <v>456</v>
      </c>
      <c r="E86" s="2750" t="s">
        <v>585</v>
      </c>
      <c r="F86" s="2756" t="s">
        <v>157</v>
      </c>
      <c r="G86" s="2751"/>
      <c r="H86" s="2660">
        <f>H87</f>
        <v>449.976</v>
      </c>
      <c r="I86" s="2661"/>
      <c r="J86" s="2662"/>
      <c r="K86" s="2631"/>
      <c r="L86" s="2631"/>
      <c r="M86" s="2631"/>
      <c r="N86" s="2663">
        <f t="shared" si="11"/>
        <v>0</v>
      </c>
      <c r="O86" s="2631">
        <f t="shared" si="11"/>
        <v>0</v>
      </c>
      <c r="P86" s="2631">
        <f t="shared" si="11"/>
        <v>0</v>
      </c>
      <c r="Q86" s="2631">
        <f t="shared" si="11"/>
        <v>0</v>
      </c>
      <c r="R86" s="2631">
        <f t="shared" si="11"/>
        <v>0</v>
      </c>
      <c r="S86" s="2631">
        <f t="shared" si="11"/>
        <v>0</v>
      </c>
      <c r="T86" s="2631">
        <f t="shared" si="11"/>
        <v>0</v>
      </c>
      <c r="U86" s="2660">
        <f t="shared" si="11"/>
        <v>0</v>
      </c>
    </row>
    <row r="87" spans="1:21" ht="31.5" x14ac:dyDescent="0.35">
      <c r="A87" s="842"/>
      <c r="B87" s="1209" t="s">
        <v>587</v>
      </c>
      <c r="C87" s="1183"/>
      <c r="D87" s="2750" t="s">
        <v>456</v>
      </c>
      <c r="E87" s="2750" t="s">
        <v>585</v>
      </c>
      <c r="F87" s="2756" t="s">
        <v>155</v>
      </c>
      <c r="G87" s="2751"/>
      <c r="H87" s="2660">
        <f>H88</f>
        <v>449.976</v>
      </c>
      <c r="I87" s="2661"/>
      <c r="J87" s="2662"/>
      <c r="K87" s="2631"/>
      <c r="L87" s="2631"/>
      <c r="M87" s="2631"/>
      <c r="N87" s="2663">
        <f t="shared" si="11"/>
        <v>0</v>
      </c>
      <c r="O87" s="2631">
        <f t="shared" si="11"/>
        <v>0</v>
      </c>
      <c r="P87" s="2631">
        <f t="shared" si="11"/>
        <v>0</v>
      </c>
      <c r="Q87" s="2631">
        <f t="shared" si="11"/>
        <v>0</v>
      </c>
      <c r="R87" s="2631">
        <f t="shared" si="11"/>
        <v>0</v>
      </c>
      <c r="S87" s="2631">
        <f t="shared" si="11"/>
        <v>0</v>
      </c>
      <c r="T87" s="2631">
        <f t="shared" si="11"/>
        <v>0</v>
      </c>
      <c r="U87" s="2660">
        <f t="shared" si="11"/>
        <v>0</v>
      </c>
    </row>
    <row r="88" spans="1:21" x14ac:dyDescent="0.35">
      <c r="A88" s="842"/>
      <c r="B88" s="1209" t="s">
        <v>582</v>
      </c>
      <c r="C88" s="1183"/>
      <c r="D88" s="2750" t="s">
        <v>456</v>
      </c>
      <c r="E88" s="2750" t="s">
        <v>585</v>
      </c>
      <c r="F88" s="2756" t="s">
        <v>154</v>
      </c>
      <c r="G88" s="2751"/>
      <c r="H88" s="2660">
        <f>H89</f>
        <v>449.976</v>
      </c>
      <c r="I88" s="2661"/>
      <c r="J88" s="2662"/>
      <c r="K88" s="2631"/>
      <c r="L88" s="2631"/>
      <c r="M88" s="2631"/>
      <c r="N88" s="2663">
        <f t="shared" si="11"/>
        <v>0</v>
      </c>
      <c r="O88" s="2631">
        <f t="shared" si="11"/>
        <v>0</v>
      </c>
      <c r="P88" s="2631">
        <f t="shared" si="11"/>
        <v>0</v>
      </c>
      <c r="Q88" s="2631">
        <f t="shared" si="11"/>
        <v>0</v>
      </c>
      <c r="R88" s="2631">
        <f t="shared" si="11"/>
        <v>0</v>
      </c>
      <c r="S88" s="2631">
        <f t="shared" si="11"/>
        <v>0</v>
      </c>
      <c r="T88" s="2631">
        <f t="shared" si="11"/>
        <v>0</v>
      </c>
      <c r="U88" s="2660">
        <f t="shared" si="11"/>
        <v>0</v>
      </c>
    </row>
    <row r="89" spans="1:21" ht="31.5" x14ac:dyDescent="0.35">
      <c r="A89" s="842"/>
      <c r="B89" s="1209" t="s">
        <v>586</v>
      </c>
      <c r="C89" s="1183"/>
      <c r="D89" s="2750" t="s">
        <v>456</v>
      </c>
      <c r="E89" s="2750" t="s">
        <v>585</v>
      </c>
      <c r="F89" s="2756" t="s">
        <v>129</v>
      </c>
      <c r="G89" s="2751"/>
      <c r="H89" s="2660">
        <f>H91</f>
        <v>449.976</v>
      </c>
      <c r="I89" s="2661"/>
      <c r="J89" s="2662"/>
      <c r="K89" s="2631"/>
      <c r="L89" s="2631"/>
      <c r="M89" s="2631"/>
      <c r="N89" s="2663">
        <f t="shared" ref="N89:U89" si="12">N91</f>
        <v>0</v>
      </c>
      <c r="O89" s="2631">
        <f t="shared" si="12"/>
        <v>0</v>
      </c>
      <c r="P89" s="2631">
        <f t="shared" si="12"/>
        <v>0</v>
      </c>
      <c r="Q89" s="2631">
        <f t="shared" si="12"/>
        <v>0</v>
      </c>
      <c r="R89" s="2631">
        <f t="shared" si="12"/>
        <v>0</v>
      </c>
      <c r="S89" s="2631">
        <f t="shared" si="12"/>
        <v>0</v>
      </c>
      <c r="T89" s="2631">
        <f t="shared" si="12"/>
        <v>0</v>
      </c>
      <c r="U89" s="2660">
        <f t="shared" si="12"/>
        <v>0</v>
      </c>
    </row>
    <row r="90" spans="1:21" x14ac:dyDescent="0.35">
      <c r="A90" s="842"/>
      <c r="B90" s="1209" t="s">
        <v>1069</v>
      </c>
      <c r="C90" s="1183"/>
      <c r="D90" s="2750" t="s">
        <v>456</v>
      </c>
      <c r="E90" s="2750" t="s">
        <v>585</v>
      </c>
      <c r="F90" s="2756" t="s">
        <v>129</v>
      </c>
      <c r="G90" s="2751" t="s">
        <v>1066</v>
      </c>
      <c r="H90" s="2660">
        <f t="shared" ref="H90:U90" si="13">H91</f>
        <v>449.976</v>
      </c>
      <c r="I90" s="2661">
        <f t="shared" si="13"/>
        <v>0</v>
      </c>
      <c r="J90" s="2662">
        <f t="shared" si="13"/>
        <v>0</v>
      </c>
      <c r="K90" s="2631">
        <f t="shared" si="13"/>
        <v>419.95499999999998</v>
      </c>
      <c r="L90" s="2631">
        <f t="shared" si="13"/>
        <v>0</v>
      </c>
      <c r="M90" s="2631">
        <f t="shared" si="13"/>
        <v>0</v>
      </c>
      <c r="N90" s="2663">
        <f t="shared" si="13"/>
        <v>0</v>
      </c>
      <c r="O90" s="2631">
        <f t="shared" si="13"/>
        <v>0</v>
      </c>
      <c r="P90" s="2631">
        <f t="shared" si="13"/>
        <v>0</v>
      </c>
      <c r="Q90" s="2631">
        <f t="shared" si="13"/>
        <v>0</v>
      </c>
      <c r="R90" s="2631">
        <f t="shared" si="13"/>
        <v>0</v>
      </c>
      <c r="S90" s="2631">
        <f t="shared" si="13"/>
        <v>0</v>
      </c>
      <c r="T90" s="2631">
        <f t="shared" si="13"/>
        <v>0</v>
      </c>
      <c r="U90" s="2660">
        <f t="shared" si="13"/>
        <v>0</v>
      </c>
    </row>
    <row r="91" spans="1:21" x14ac:dyDescent="0.35">
      <c r="A91" s="842"/>
      <c r="B91" s="1198" t="s">
        <v>575</v>
      </c>
      <c r="C91" s="1183"/>
      <c r="D91" s="2750" t="s">
        <v>456</v>
      </c>
      <c r="E91" s="2750" t="s">
        <v>585</v>
      </c>
      <c r="F91" s="2756" t="s">
        <v>129</v>
      </c>
      <c r="G91" s="2751" t="s">
        <v>120</v>
      </c>
      <c r="H91" s="2660">
        <v>449.976</v>
      </c>
      <c r="I91" s="2661"/>
      <c r="J91" s="2662"/>
      <c r="K91" s="2631">
        <v>419.95499999999998</v>
      </c>
      <c r="L91" s="2631"/>
      <c r="M91" s="2631"/>
      <c r="N91" s="2663">
        <v>0</v>
      </c>
      <c r="O91" s="2631"/>
      <c r="P91" s="2631"/>
      <c r="Q91" s="2631"/>
      <c r="R91" s="2631"/>
      <c r="S91" s="2631"/>
      <c r="T91" s="2631"/>
      <c r="U91" s="2660">
        <v>0</v>
      </c>
    </row>
    <row r="92" spans="1:21" s="760" customFormat="1" x14ac:dyDescent="0.35">
      <c r="A92" s="842"/>
      <c r="B92" s="1210" t="s">
        <v>419</v>
      </c>
      <c r="C92" s="408"/>
      <c r="D92" s="2750" t="s">
        <v>456</v>
      </c>
      <c r="E92" s="2750" t="s">
        <v>506</v>
      </c>
      <c r="F92" s="2756"/>
      <c r="G92" s="2751"/>
      <c r="H92" s="2660">
        <f>H93</f>
        <v>1300</v>
      </c>
      <c r="I92" s="2661"/>
      <c r="J92" s="2662"/>
      <c r="K92" s="2631"/>
      <c r="L92" s="2631"/>
      <c r="M92" s="2631"/>
      <c r="N92" s="2663">
        <f>N93</f>
        <v>0</v>
      </c>
      <c r="O92" s="2631"/>
      <c r="P92" s="2631"/>
      <c r="Q92" s="2631"/>
      <c r="R92" s="2631"/>
      <c r="S92" s="2631"/>
      <c r="T92" s="2631"/>
      <c r="U92" s="2660">
        <f>U93</f>
        <v>0</v>
      </c>
    </row>
    <row r="93" spans="1:21" ht="31.5" x14ac:dyDescent="0.35">
      <c r="A93" s="1179"/>
      <c r="B93" s="762" t="s">
        <v>499</v>
      </c>
      <c r="C93" s="409"/>
      <c r="D93" s="2750" t="s">
        <v>456</v>
      </c>
      <c r="E93" s="2750" t="s">
        <v>506</v>
      </c>
      <c r="F93" s="2750" t="s">
        <v>89</v>
      </c>
      <c r="G93" s="2751"/>
      <c r="H93" s="2660">
        <f>H94</f>
        <v>1300</v>
      </c>
      <c r="I93" s="2661"/>
      <c r="J93" s="2662"/>
      <c r="K93" s="2631"/>
      <c r="L93" s="2631"/>
      <c r="M93" s="2631"/>
      <c r="N93" s="2663">
        <f>N94</f>
        <v>0</v>
      </c>
      <c r="O93" s="2631"/>
      <c r="P93" s="2631"/>
      <c r="Q93" s="2631"/>
      <c r="R93" s="2631"/>
      <c r="S93" s="2631"/>
      <c r="T93" s="2631"/>
      <c r="U93" s="2660">
        <f>U94</f>
        <v>0</v>
      </c>
    </row>
    <row r="94" spans="1:21" x14ac:dyDescent="0.35">
      <c r="A94" s="842"/>
      <c r="B94" s="709" t="s">
        <v>109</v>
      </c>
      <c r="C94" s="409"/>
      <c r="D94" s="2750" t="s">
        <v>456</v>
      </c>
      <c r="E94" s="2750" t="s">
        <v>506</v>
      </c>
      <c r="F94" s="2750" t="s">
        <v>581</v>
      </c>
      <c r="G94" s="2751"/>
      <c r="H94" s="2660">
        <f>H95</f>
        <v>1300</v>
      </c>
      <c r="I94" s="2661"/>
      <c r="J94" s="2662"/>
      <c r="K94" s="2631"/>
      <c r="L94" s="2631"/>
      <c r="M94" s="2631"/>
      <c r="N94" s="2663">
        <f>N95</f>
        <v>0</v>
      </c>
      <c r="O94" s="2631"/>
      <c r="P94" s="2631"/>
      <c r="Q94" s="2631"/>
      <c r="R94" s="2631"/>
      <c r="S94" s="2631"/>
      <c r="T94" s="2631"/>
      <c r="U94" s="2660">
        <f>U95</f>
        <v>0</v>
      </c>
    </row>
    <row r="95" spans="1:21" x14ac:dyDescent="0.35">
      <c r="A95" s="842"/>
      <c r="B95" s="709" t="s">
        <v>109</v>
      </c>
      <c r="C95" s="409"/>
      <c r="D95" s="2750" t="s">
        <v>456</v>
      </c>
      <c r="E95" s="2750" t="s">
        <v>506</v>
      </c>
      <c r="F95" s="2750" t="s">
        <v>82</v>
      </c>
      <c r="G95" s="2751"/>
      <c r="H95" s="2660">
        <f>H96</f>
        <v>1300</v>
      </c>
      <c r="I95" s="2661"/>
      <c r="J95" s="2662"/>
      <c r="K95" s="2631"/>
      <c r="L95" s="2631"/>
      <c r="M95" s="2631"/>
      <c r="N95" s="2663">
        <f>N96</f>
        <v>0</v>
      </c>
      <c r="O95" s="2631"/>
      <c r="P95" s="2631"/>
      <c r="Q95" s="2631"/>
      <c r="R95" s="2631"/>
      <c r="S95" s="2631"/>
      <c r="T95" s="2631"/>
      <c r="U95" s="2660">
        <f>U96</f>
        <v>0</v>
      </c>
    </row>
    <row r="96" spans="1:21" ht="31.5" x14ac:dyDescent="0.35">
      <c r="A96" s="842"/>
      <c r="B96" s="1209" t="s">
        <v>788</v>
      </c>
      <c r="C96" s="409"/>
      <c r="D96" s="2750" t="s">
        <v>456</v>
      </c>
      <c r="E96" s="2750" t="s">
        <v>506</v>
      </c>
      <c r="F96" s="2750" t="s">
        <v>1104</v>
      </c>
      <c r="G96" s="2751"/>
      <c r="H96" s="2660">
        <f>H98</f>
        <v>1300</v>
      </c>
      <c r="I96" s="2661"/>
      <c r="J96" s="2662"/>
      <c r="K96" s="2631"/>
      <c r="L96" s="2631"/>
      <c r="M96" s="2631"/>
      <c r="N96" s="2663">
        <f>N98</f>
        <v>0</v>
      </c>
      <c r="O96" s="2631"/>
      <c r="P96" s="2631"/>
      <c r="Q96" s="2631"/>
      <c r="R96" s="2631"/>
      <c r="S96" s="2631"/>
      <c r="T96" s="2631"/>
      <c r="U96" s="2660">
        <f>U98</f>
        <v>0</v>
      </c>
    </row>
    <row r="97" spans="1:21" ht="21" x14ac:dyDescent="0.35">
      <c r="A97" s="842"/>
      <c r="B97" s="753" t="s">
        <v>948</v>
      </c>
      <c r="C97" s="409"/>
      <c r="D97" s="2750" t="s">
        <v>456</v>
      </c>
      <c r="E97" s="2750" t="s">
        <v>506</v>
      </c>
      <c r="F97" s="2750" t="s">
        <v>1104</v>
      </c>
      <c r="G97" s="2751" t="s">
        <v>955</v>
      </c>
      <c r="H97" s="2660">
        <f t="shared" ref="H97:U97" si="14">H98</f>
        <v>1300</v>
      </c>
      <c r="I97" s="2661">
        <f t="shared" si="14"/>
        <v>0</v>
      </c>
      <c r="J97" s="2662">
        <f t="shared" si="14"/>
        <v>0</v>
      </c>
      <c r="K97" s="2631">
        <f t="shared" si="14"/>
        <v>0</v>
      </c>
      <c r="L97" s="2631">
        <f t="shared" si="14"/>
        <v>0</v>
      </c>
      <c r="M97" s="2631">
        <f t="shared" si="14"/>
        <v>0</v>
      </c>
      <c r="N97" s="2663">
        <f t="shared" si="14"/>
        <v>0</v>
      </c>
      <c r="O97" s="2631">
        <f t="shared" si="14"/>
        <v>0</v>
      </c>
      <c r="P97" s="2631">
        <f t="shared" si="14"/>
        <v>0</v>
      </c>
      <c r="Q97" s="2631">
        <f t="shared" si="14"/>
        <v>0</v>
      </c>
      <c r="R97" s="2631">
        <f t="shared" si="14"/>
        <v>0</v>
      </c>
      <c r="S97" s="2631">
        <f t="shared" si="14"/>
        <v>0</v>
      </c>
      <c r="T97" s="2631">
        <f t="shared" si="14"/>
        <v>0</v>
      </c>
      <c r="U97" s="2660">
        <f t="shared" si="14"/>
        <v>0</v>
      </c>
    </row>
    <row r="98" spans="1:21" ht="21" x14ac:dyDescent="0.35">
      <c r="A98" s="842"/>
      <c r="B98" s="1182" t="s">
        <v>454</v>
      </c>
      <c r="C98" s="409"/>
      <c r="D98" s="2750" t="s">
        <v>456</v>
      </c>
      <c r="E98" s="2750" t="s">
        <v>506</v>
      </c>
      <c r="F98" s="2750" t="s">
        <v>1104</v>
      </c>
      <c r="G98" s="2751" t="s">
        <v>1</v>
      </c>
      <c r="H98" s="2660">
        <v>1300</v>
      </c>
      <c r="I98" s="2661"/>
      <c r="J98" s="2662"/>
      <c r="K98" s="2631"/>
      <c r="L98" s="2631"/>
      <c r="M98" s="2631"/>
      <c r="N98" s="2663">
        <v>0</v>
      </c>
      <c r="O98" s="2631"/>
      <c r="P98" s="2631"/>
      <c r="Q98" s="2631"/>
      <c r="R98" s="2631"/>
      <c r="S98" s="2631"/>
      <c r="T98" s="2631"/>
      <c r="U98" s="2660">
        <v>0</v>
      </c>
    </row>
    <row r="99" spans="1:21" x14ac:dyDescent="0.35">
      <c r="A99" s="842"/>
      <c r="B99" s="1184" t="s">
        <v>68</v>
      </c>
      <c r="C99" s="1177"/>
      <c r="D99" s="2750" t="s">
        <v>456</v>
      </c>
      <c r="E99" s="2750" t="s">
        <v>464</v>
      </c>
      <c r="F99" s="2750"/>
      <c r="G99" s="2751"/>
      <c r="H99" s="2660">
        <f t="shared" ref="H99:J102" si="15">H100</f>
        <v>2400</v>
      </c>
      <c r="I99" s="2661">
        <f t="shared" si="15"/>
        <v>0</v>
      </c>
      <c r="J99" s="2662">
        <f t="shared" si="15"/>
        <v>0</v>
      </c>
      <c r="K99" s="2631"/>
      <c r="L99" s="2631"/>
      <c r="M99" s="2631"/>
      <c r="N99" s="2663">
        <f t="shared" ref="N99:N102" si="16">N100</f>
        <v>2500</v>
      </c>
      <c r="O99" s="2631"/>
      <c r="P99" s="2631"/>
      <c r="Q99" s="2631"/>
      <c r="R99" s="2631"/>
      <c r="S99" s="2631"/>
      <c r="T99" s="2631"/>
      <c r="U99" s="2660">
        <f t="shared" ref="U99:U102" si="17">U100</f>
        <v>2650</v>
      </c>
    </row>
    <row r="100" spans="1:21" ht="31.5" x14ac:dyDescent="0.35">
      <c r="A100" s="1179"/>
      <c r="B100" s="753" t="s">
        <v>499</v>
      </c>
      <c r="C100" s="1180"/>
      <c r="D100" s="2750" t="s">
        <v>456</v>
      </c>
      <c r="E100" s="2750" t="s">
        <v>464</v>
      </c>
      <c r="F100" s="2750" t="s">
        <v>89</v>
      </c>
      <c r="G100" s="2751"/>
      <c r="H100" s="2660">
        <f t="shared" si="15"/>
        <v>2400</v>
      </c>
      <c r="I100" s="2661">
        <f t="shared" si="15"/>
        <v>0</v>
      </c>
      <c r="J100" s="2662">
        <f t="shared" si="15"/>
        <v>0</v>
      </c>
      <c r="K100" s="2631"/>
      <c r="L100" s="2631"/>
      <c r="M100" s="2631"/>
      <c r="N100" s="2663">
        <f t="shared" si="16"/>
        <v>2500</v>
      </c>
      <c r="O100" s="2631"/>
      <c r="P100" s="2631"/>
      <c r="Q100" s="2631"/>
      <c r="R100" s="2631"/>
      <c r="S100" s="2631"/>
      <c r="T100" s="2631"/>
      <c r="U100" s="2660">
        <f t="shared" si="17"/>
        <v>2650</v>
      </c>
    </row>
    <row r="101" spans="1:21" x14ac:dyDescent="0.35">
      <c r="A101" s="842"/>
      <c r="B101" s="1180" t="s">
        <v>109</v>
      </c>
      <c r="C101" s="1180"/>
      <c r="D101" s="2750" t="s">
        <v>456</v>
      </c>
      <c r="E101" s="2750" t="s">
        <v>464</v>
      </c>
      <c r="F101" s="2750" t="s">
        <v>581</v>
      </c>
      <c r="G101" s="2751"/>
      <c r="H101" s="2660">
        <f t="shared" si="15"/>
        <v>2400</v>
      </c>
      <c r="I101" s="2661">
        <f t="shared" si="15"/>
        <v>0</v>
      </c>
      <c r="J101" s="2662">
        <f t="shared" si="15"/>
        <v>0</v>
      </c>
      <c r="K101" s="2631"/>
      <c r="L101" s="2631"/>
      <c r="M101" s="2631"/>
      <c r="N101" s="2663">
        <f t="shared" si="16"/>
        <v>2500</v>
      </c>
      <c r="O101" s="2631"/>
      <c r="P101" s="2631"/>
      <c r="Q101" s="2631"/>
      <c r="R101" s="2631"/>
      <c r="S101" s="2631"/>
      <c r="T101" s="2631"/>
      <c r="U101" s="2660">
        <f t="shared" si="17"/>
        <v>2650</v>
      </c>
    </row>
    <row r="102" spans="1:21" x14ac:dyDescent="0.35">
      <c r="A102" s="842"/>
      <c r="B102" s="1180" t="s">
        <v>109</v>
      </c>
      <c r="C102" s="1180"/>
      <c r="D102" s="2750" t="s">
        <v>456</v>
      </c>
      <c r="E102" s="2750" t="s">
        <v>464</v>
      </c>
      <c r="F102" s="2750" t="s">
        <v>82</v>
      </c>
      <c r="G102" s="2751"/>
      <c r="H102" s="2660">
        <f t="shared" si="15"/>
        <v>2400</v>
      </c>
      <c r="I102" s="2661">
        <f t="shared" si="15"/>
        <v>0</v>
      </c>
      <c r="J102" s="2662">
        <f t="shared" si="15"/>
        <v>0</v>
      </c>
      <c r="K102" s="2631"/>
      <c r="L102" s="2631"/>
      <c r="M102" s="2631"/>
      <c r="N102" s="2663">
        <f t="shared" si="16"/>
        <v>2500</v>
      </c>
      <c r="O102" s="2631"/>
      <c r="P102" s="2631"/>
      <c r="Q102" s="2631"/>
      <c r="R102" s="2631"/>
      <c r="S102" s="2631"/>
      <c r="T102" s="2631"/>
      <c r="U102" s="2660">
        <f t="shared" si="17"/>
        <v>2650</v>
      </c>
    </row>
    <row r="103" spans="1:21" ht="21" x14ac:dyDescent="0.35">
      <c r="A103" s="842"/>
      <c r="B103" s="1180" t="s">
        <v>72</v>
      </c>
      <c r="C103" s="1180"/>
      <c r="D103" s="2750" t="s">
        <v>456</v>
      </c>
      <c r="E103" s="2750" t="s">
        <v>464</v>
      </c>
      <c r="F103" s="2750" t="s">
        <v>67</v>
      </c>
      <c r="G103" s="2751"/>
      <c r="H103" s="2660">
        <f>H105</f>
        <v>2400</v>
      </c>
      <c r="I103" s="2661">
        <f>I105</f>
        <v>0</v>
      </c>
      <c r="J103" s="2662">
        <f>J105</f>
        <v>0</v>
      </c>
      <c r="K103" s="2631"/>
      <c r="L103" s="2631"/>
      <c r="M103" s="2631"/>
      <c r="N103" s="2663">
        <f>N105</f>
        <v>2500</v>
      </c>
      <c r="O103" s="2631"/>
      <c r="P103" s="2631"/>
      <c r="Q103" s="2631"/>
      <c r="R103" s="2631"/>
      <c r="S103" s="2631"/>
      <c r="T103" s="2631"/>
      <c r="U103" s="2660">
        <f>U105</f>
        <v>2650</v>
      </c>
    </row>
    <row r="104" spans="1:21" x14ac:dyDescent="0.35">
      <c r="A104" s="842"/>
      <c r="B104" s="1180" t="s">
        <v>1068</v>
      </c>
      <c r="C104" s="1180"/>
      <c r="D104" s="2750" t="s">
        <v>456</v>
      </c>
      <c r="E104" s="2750" t="s">
        <v>464</v>
      </c>
      <c r="F104" s="2750" t="s">
        <v>67</v>
      </c>
      <c r="G104" s="2751" t="s">
        <v>1064</v>
      </c>
      <c r="H104" s="2660">
        <f t="shared" ref="H104:U104" si="18">H105</f>
        <v>2400</v>
      </c>
      <c r="I104" s="2661">
        <f t="shared" si="18"/>
        <v>0</v>
      </c>
      <c r="J104" s="2662">
        <f t="shared" si="18"/>
        <v>0</v>
      </c>
      <c r="K104" s="2631">
        <f t="shared" si="18"/>
        <v>0</v>
      </c>
      <c r="L104" s="2631">
        <f t="shared" si="18"/>
        <v>0</v>
      </c>
      <c r="M104" s="2631">
        <f t="shared" si="18"/>
        <v>0</v>
      </c>
      <c r="N104" s="2663">
        <f t="shared" si="18"/>
        <v>2500</v>
      </c>
      <c r="O104" s="2631">
        <f t="shared" si="18"/>
        <v>0</v>
      </c>
      <c r="P104" s="2631">
        <f t="shared" si="18"/>
        <v>0</v>
      </c>
      <c r="Q104" s="2631">
        <f t="shared" si="18"/>
        <v>0</v>
      </c>
      <c r="R104" s="2631">
        <f t="shared" si="18"/>
        <v>0</v>
      </c>
      <c r="S104" s="2631">
        <f t="shared" si="18"/>
        <v>0</v>
      </c>
      <c r="T104" s="2631">
        <f t="shared" si="18"/>
        <v>0</v>
      </c>
      <c r="U104" s="2660">
        <f t="shared" si="18"/>
        <v>2650</v>
      </c>
    </row>
    <row r="105" spans="1:21" ht="13.5" customHeight="1" x14ac:dyDescent="0.35">
      <c r="A105" s="842"/>
      <c r="B105" s="1182" t="s">
        <v>580</v>
      </c>
      <c r="C105" s="1183"/>
      <c r="D105" s="2750" t="s">
        <v>456</v>
      </c>
      <c r="E105" s="2750" t="s">
        <v>464</v>
      </c>
      <c r="F105" s="2750" t="s">
        <v>67</v>
      </c>
      <c r="G105" s="2751" t="s">
        <v>579</v>
      </c>
      <c r="H105" s="2660">
        <v>2400</v>
      </c>
      <c r="I105" s="2661"/>
      <c r="J105" s="2662"/>
      <c r="K105" s="2631"/>
      <c r="L105" s="2631"/>
      <c r="M105" s="2631"/>
      <c r="N105" s="2663">
        <v>2500</v>
      </c>
      <c r="O105" s="2631"/>
      <c r="P105" s="2631"/>
      <c r="Q105" s="2631"/>
      <c r="R105" s="2631"/>
      <c r="S105" s="2631"/>
      <c r="T105" s="2631"/>
      <c r="U105" s="2660">
        <v>2650</v>
      </c>
    </row>
    <row r="106" spans="1:21" x14ac:dyDescent="0.35">
      <c r="A106" s="842"/>
      <c r="B106" s="1184" t="s">
        <v>93</v>
      </c>
      <c r="C106" s="1177"/>
      <c r="D106" s="2750" t="s">
        <v>456</v>
      </c>
      <c r="E106" s="2750" t="s">
        <v>573</v>
      </c>
      <c r="F106" s="2750"/>
      <c r="G106" s="2751"/>
      <c r="H106" s="2660">
        <f>H107+H116</f>
        <v>1896</v>
      </c>
      <c r="I106" s="2661">
        <f>I107+I116</f>
        <v>598.5</v>
      </c>
      <c r="J106" s="2662">
        <f>J107+J116</f>
        <v>598.5</v>
      </c>
      <c r="K106" s="2631"/>
      <c r="L106" s="2631"/>
      <c r="M106" s="2631"/>
      <c r="N106" s="2663">
        <f>N112+N114+N115</f>
        <v>0</v>
      </c>
      <c r="O106" s="2631"/>
      <c r="P106" s="2631"/>
      <c r="Q106" s="2631"/>
      <c r="R106" s="2631"/>
      <c r="S106" s="2631"/>
      <c r="T106" s="2631"/>
      <c r="U106" s="2660">
        <f>U112+U114+U115</f>
        <v>0</v>
      </c>
    </row>
    <row r="107" spans="1:21" ht="21" x14ac:dyDescent="0.35">
      <c r="A107" s="1179"/>
      <c r="B107" s="753" t="s">
        <v>102</v>
      </c>
      <c r="C107" s="1180"/>
      <c r="D107" s="2750" t="s">
        <v>456</v>
      </c>
      <c r="E107" s="2750" t="s">
        <v>573</v>
      </c>
      <c r="F107" s="2750" t="s">
        <v>101</v>
      </c>
      <c r="G107" s="2751"/>
      <c r="H107" s="2660">
        <f t="shared" ref="H107:J109" si="19">H108</f>
        <v>1896</v>
      </c>
      <c r="I107" s="2661">
        <f t="shared" si="19"/>
        <v>0</v>
      </c>
      <c r="J107" s="2662">
        <f t="shared" si="19"/>
        <v>0</v>
      </c>
      <c r="K107" s="2631"/>
      <c r="L107" s="2631"/>
      <c r="M107" s="2631"/>
      <c r="N107" s="2663">
        <f t="shared" ref="N107:N109" si="20">N108</f>
        <v>0</v>
      </c>
      <c r="O107" s="2631"/>
      <c r="P107" s="2631"/>
      <c r="Q107" s="2631"/>
      <c r="R107" s="2631"/>
      <c r="S107" s="2631"/>
      <c r="T107" s="2631"/>
      <c r="U107" s="2660">
        <f t="shared" ref="U107:U109" si="21">U108</f>
        <v>0</v>
      </c>
    </row>
    <row r="108" spans="1:21" x14ac:dyDescent="0.35">
      <c r="A108" s="1179"/>
      <c r="B108" s="753" t="s">
        <v>109</v>
      </c>
      <c r="C108" s="1180"/>
      <c r="D108" s="2750" t="s">
        <v>456</v>
      </c>
      <c r="E108" s="2750" t="s">
        <v>573</v>
      </c>
      <c r="F108" s="2750" t="s">
        <v>100</v>
      </c>
      <c r="G108" s="2751"/>
      <c r="H108" s="2660">
        <f t="shared" si="19"/>
        <v>1896</v>
      </c>
      <c r="I108" s="2661">
        <f t="shared" si="19"/>
        <v>0</v>
      </c>
      <c r="J108" s="2662">
        <f t="shared" si="19"/>
        <v>0</v>
      </c>
      <c r="K108" s="2631"/>
      <c r="L108" s="2631"/>
      <c r="M108" s="2631"/>
      <c r="N108" s="2663">
        <f t="shared" si="20"/>
        <v>0</v>
      </c>
      <c r="O108" s="2631"/>
      <c r="P108" s="2631"/>
      <c r="Q108" s="2631"/>
      <c r="R108" s="2631"/>
      <c r="S108" s="2631"/>
      <c r="T108" s="2631"/>
      <c r="U108" s="2660">
        <f t="shared" si="21"/>
        <v>0</v>
      </c>
    </row>
    <row r="109" spans="1:21" x14ac:dyDescent="0.35">
      <c r="A109" s="1179"/>
      <c r="B109" s="753" t="s">
        <v>109</v>
      </c>
      <c r="C109" s="1180"/>
      <c r="D109" s="2750" t="s">
        <v>456</v>
      </c>
      <c r="E109" s="2750" t="s">
        <v>573</v>
      </c>
      <c r="F109" s="2750" t="s">
        <v>99</v>
      </c>
      <c r="G109" s="2751"/>
      <c r="H109" s="2660">
        <f t="shared" si="19"/>
        <v>1896</v>
      </c>
      <c r="I109" s="2661">
        <f t="shared" si="19"/>
        <v>0</v>
      </c>
      <c r="J109" s="2662">
        <f t="shared" si="19"/>
        <v>0</v>
      </c>
      <c r="K109" s="2631"/>
      <c r="L109" s="2631"/>
      <c r="M109" s="2631"/>
      <c r="N109" s="2663">
        <f t="shared" si="20"/>
        <v>0</v>
      </c>
      <c r="O109" s="2631"/>
      <c r="P109" s="2631"/>
      <c r="Q109" s="2631"/>
      <c r="R109" s="2631"/>
      <c r="S109" s="2631"/>
      <c r="T109" s="2631"/>
      <c r="U109" s="2660">
        <f t="shared" si="21"/>
        <v>0</v>
      </c>
    </row>
    <row r="110" spans="1:21" x14ac:dyDescent="0.35">
      <c r="A110" s="1179"/>
      <c r="B110" s="753" t="s">
        <v>577</v>
      </c>
      <c r="C110" s="1180"/>
      <c r="D110" s="2750" t="s">
        <v>456</v>
      </c>
      <c r="E110" s="2750" t="s">
        <v>573</v>
      </c>
      <c r="F110" s="2750" t="s">
        <v>92</v>
      </c>
      <c r="G110" s="2751"/>
      <c r="H110" s="2660">
        <f>H112+H115+H114</f>
        <v>1896</v>
      </c>
      <c r="I110" s="2661">
        <f>I112+I115</f>
        <v>0</v>
      </c>
      <c r="J110" s="2662">
        <f>J112+J115</f>
        <v>0</v>
      </c>
      <c r="K110" s="2631">
        <v>500</v>
      </c>
      <c r="L110" s="2631" t="s">
        <v>959</v>
      </c>
      <c r="M110" s="2631"/>
      <c r="N110" s="2663">
        <f>N111+N113</f>
        <v>0</v>
      </c>
      <c r="O110" s="2631"/>
      <c r="P110" s="2631"/>
      <c r="Q110" s="2631"/>
      <c r="R110" s="2631"/>
      <c r="S110" s="2631"/>
      <c r="T110" s="2631"/>
      <c r="U110" s="2660">
        <f>U111+U113</f>
        <v>0</v>
      </c>
    </row>
    <row r="111" spans="1:21" ht="21" x14ac:dyDescent="0.35">
      <c r="A111" s="1179"/>
      <c r="B111" s="753" t="s">
        <v>948</v>
      </c>
      <c r="C111" s="1180"/>
      <c r="D111" s="2750" t="s">
        <v>456</v>
      </c>
      <c r="E111" s="2750" t="s">
        <v>573</v>
      </c>
      <c r="F111" s="2750" t="s">
        <v>92</v>
      </c>
      <c r="G111" s="2751" t="s">
        <v>955</v>
      </c>
      <c r="H111" s="2660">
        <f t="shared" ref="H111:U111" si="22">H112</f>
        <v>1856</v>
      </c>
      <c r="I111" s="2661">
        <f t="shared" si="22"/>
        <v>0</v>
      </c>
      <c r="J111" s="2662">
        <f t="shared" si="22"/>
        <v>0</v>
      </c>
      <c r="K111" s="2631">
        <f t="shared" si="22"/>
        <v>0</v>
      </c>
      <c r="L111" s="2631">
        <f t="shared" si="22"/>
        <v>0</v>
      </c>
      <c r="M111" s="2631">
        <f t="shared" si="22"/>
        <v>0</v>
      </c>
      <c r="N111" s="2663">
        <f t="shared" si="22"/>
        <v>0</v>
      </c>
      <c r="O111" s="2631">
        <f t="shared" si="22"/>
        <v>0</v>
      </c>
      <c r="P111" s="2631">
        <f t="shared" si="22"/>
        <v>0</v>
      </c>
      <c r="Q111" s="2631">
        <f t="shared" si="22"/>
        <v>0</v>
      </c>
      <c r="R111" s="2631">
        <f t="shared" si="22"/>
        <v>0</v>
      </c>
      <c r="S111" s="2631">
        <f t="shared" si="22"/>
        <v>0</v>
      </c>
      <c r="T111" s="2631">
        <f t="shared" si="22"/>
        <v>0</v>
      </c>
      <c r="U111" s="2660">
        <f t="shared" si="22"/>
        <v>0</v>
      </c>
    </row>
    <row r="112" spans="1:21" ht="21" x14ac:dyDescent="0.35">
      <c r="A112" s="842"/>
      <c r="B112" s="1182" t="s">
        <v>454</v>
      </c>
      <c r="C112" s="1183"/>
      <c r="D112" s="2750" t="s">
        <v>456</v>
      </c>
      <c r="E112" s="2750" t="s">
        <v>573</v>
      </c>
      <c r="F112" s="2750" t="s">
        <v>92</v>
      </c>
      <c r="G112" s="2751" t="s">
        <v>1</v>
      </c>
      <c r="H112" s="2660">
        <f>716+900+240</f>
        <v>1856</v>
      </c>
      <c r="I112" s="2661"/>
      <c r="J112" s="2662"/>
      <c r="K112" s="2631"/>
      <c r="L112" s="2631"/>
      <c r="M112" s="2631"/>
      <c r="N112" s="2663">
        <v>0</v>
      </c>
      <c r="O112" s="2631"/>
      <c r="P112" s="2631"/>
      <c r="Q112" s="2631"/>
      <c r="R112" s="2631"/>
      <c r="S112" s="2631"/>
      <c r="T112" s="2631"/>
      <c r="U112" s="2660">
        <v>0</v>
      </c>
    </row>
    <row r="113" spans="1:25" x14ac:dyDescent="0.35">
      <c r="A113" s="842"/>
      <c r="B113" s="1182" t="s">
        <v>1068</v>
      </c>
      <c r="C113" s="1183"/>
      <c r="D113" s="2750" t="s">
        <v>456</v>
      </c>
      <c r="E113" s="2750" t="s">
        <v>573</v>
      </c>
      <c r="F113" s="2750" t="s">
        <v>92</v>
      </c>
      <c r="G113" s="2751" t="s">
        <v>1064</v>
      </c>
      <c r="H113" s="2660">
        <f>H114+H115</f>
        <v>40</v>
      </c>
      <c r="I113" s="2661"/>
      <c r="J113" s="2662"/>
      <c r="K113" s="2631"/>
      <c r="L113" s="2631"/>
      <c r="M113" s="2631"/>
      <c r="N113" s="2663">
        <f t="shared" ref="N113:U113" si="23">N114+N115</f>
        <v>0</v>
      </c>
      <c r="O113" s="2631">
        <f t="shared" si="23"/>
        <v>0</v>
      </c>
      <c r="P113" s="2631">
        <f t="shared" si="23"/>
        <v>0</v>
      </c>
      <c r="Q113" s="2631">
        <f t="shared" si="23"/>
        <v>0</v>
      </c>
      <c r="R113" s="2631">
        <f t="shared" si="23"/>
        <v>0</v>
      </c>
      <c r="S113" s="2631">
        <f t="shared" si="23"/>
        <v>0</v>
      </c>
      <c r="T113" s="2631">
        <f t="shared" si="23"/>
        <v>0</v>
      </c>
      <c r="U113" s="2660">
        <f t="shared" si="23"/>
        <v>0</v>
      </c>
    </row>
    <row r="114" spans="1:25" hidden="1" x14ac:dyDescent="0.35">
      <c r="A114" s="842"/>
      <c r="B114" s="1182" t="s">
        <v>1003</v>
      </c>
      <c r="C114" s="1183"/>
      <c r="D114" s="2750" t="s">
        <v>456</v>
      </c>
      <c r="E114" s="2750" t="s">
        <v>573</v>
      </c>
      <c r="F114" s="2750" t="s">
        <v>92</v>
      </c>
      <c r="G114" s="2751" t="s">
        <v>95</v>
      </c>
      <c r="H114" s="2660">
        <v>0</v>
      </c>
      <c r="I114" s="2661"/>
      <c r="J114" s="2662"/>
      <c r="K114" s="2631"/>
      <c r="L114" s="2631"/>
      <c r="M114" s="2631"/>
      <c r="N114" s="2663">
        <v>0</v>
      </c>
      <c r="O114" s="2631"/>
      <c r="P114" s="2631"/>
      <c r="Q114" s="2631"/>
      <c r="R114" s="2631"/>
      <c r="S114" s="2631"/>
      <c r="T114" s="2631"/>
      <c r="U114" s="2660">
        <v>0</v>
      </c>
    </row>
    <row r="115" spans="1:25" x14ac:dyDescent="0.35">
      <c r="A115" s="842"/>
      <c r="B115" s="1182" t="s">
        <v>457</v>
      </c>
      <c r="C115" s="1183"/>
      <c r="D115" s="2750" t="s">
        <v>456</v>
      </c>
      <c r="E115" s="2750" t="s">
        <v>573</v>
      </c>
      <c r="F115" s="2750" t="s">
        <v>92</v>
      </c>
      <c r="G115" s="2751" t="s">
        <v>91</v>
      </c>
      <c r="H115" s="2660">
        <v>40</v>
      </c>
      <c r="I115" s="2661"/>
      <c r="J115" s="2662"/>
      <c r="K115" s="2631"/>
      <c r="L115" s="2631"/>
      <c r="M115" s="2631"/>
      <c r="N115" s="2663">
        <v>0</v>
      </c>
      <c r="O115" s="2631"/>
      <c r="P115" s="2631"/>
      <c r="Q115" s="2631"/>
      <c r="R115" s="2631"/>
      <c r="S115" s="2631"/>
      <c r="T115" s="2631"/>
      <c r="U115" s="2660">
        <v>0</v>
      </c>
    </row>
    <row r="116" spans="1:25" ht="31.5" hidden="1" x14ac:dyDescent="0.35">
      <c r="A116" s="1211"/>
      <c r="B116" s="753" t="s">
        <v>499</v>
      </c>
      <c r="C116" s="1177"/>
      <c r="D116" s="2750" t="s">
        <v>456</v>
      </c>
      <c r="E116" s="2750" t="s">
        <v>573</v>
      </c>
      <c r="F116" s="2750" t="s">
        <v>89</v>
      </c>
      <c r="G116" s="2751"/>
      <c r="H116" s="2660">
        <f t="shared" ref="H116:J117" si="24">H117</f>
        <v>0</v>
      </c>
      <c r="I116" s="2661">
        <f t="shared" si="24"/>
        <v>598.5</v>
      </c>
      <c r="J116" s="2662">
        <f t="shared" si="24"/>
        <v>598.5</v>
      </c>
      <c r="K116" s="2631"/>
      <c r="L116" s="2631"/>
      <c r="M116" s="2631"/>
      <c r="N116" s="2663">
        <f t="shared" ref="N116:N117" si="25">N117</f>
        <v>0</v>
      </c>
      <c r="O116" s="2631"/>
      <c r="P116" s="2631"/>
      <c r="Q116" s="2631"/>
      <c r="R116" s="2631"/>
      <c r="S116" s="2631"/>
      <c r="T116" s="2631"/>
      <c r="U116" s="2660">
        <f t="shared" ref="U116:U117" si="26">U117</f>
        <v>0</v>
      </c>
    </row>
    <row r="117" spans="1:25" hidden="1" x14ac:dyDescent="0.35">
      <c r="A117" s="1179"/>
      <c r="B117" s="753" t="s">
        <v>109</v>
      </c>
      <c r="C117" s="1180"/>
      <c r="D117" s="2750" t="s">
        <v>456</v>
      </c>
      <c r="E117" s="2750" t="s">
        <v>573</v>
      </c>
      <c r="F117" s="2750" t="s">
        <v>84</v>
      </c>
      <c r="G117" s="2751"/>
      <c r="H117" s="2660">
        <f t="shared" si="24"/>
        <v>0</v>
      </c>
      <c r="I117" s="2661">
        <f t="shared" si="24"/>
        <v>598.5</v>
      </c>
      <c r="J117" s="2662">
        <f t="shared" si="24"/>
        <v>598.5</v>
      </c>
      <c r="K117" s="2631"/>
      <c r="L117" s="2631"/>
      <c r="M117" s="2631"/>
      <c r="N117" s="2663">
        <f t="shared" si="25"/>
        <v>0</v>
      </c>
      <c r="O117" s="2631"/>
      <c r="P117" s="2631"/>
      <c r="Q117" s="2631"/>
      <c r="R117" s="2631"/>
      <c r="S117" s="2631"/>
      <c r="T117" s="2631"/>
      <c r="U117" s="2660">
        <f t="shared" si="26"/>
        <v>0</v>
      </c>
    </row>
    <row r="118" spans="1:25" hidden="1" x14ac:dyDescent="0.35">
      <c r="A118" s="1179"/>
      <c r="B118" s="753" t="s">
        <v>109</v>
      </c>
      <c r="C118" s="1180"/>
      <c r="D118" s="2750" t="s">
        <v>456</v>
      </c>
      <c r="E118" s="2750" t="s">
        <v>573</v>
      </c>
      <c r="F118" s="2750" t="s">
        <v>82</v>
      </c>
      <c r="G118" s="2751"/>
      <c r="H118" s="2660">
        <f>H119</f>
        <v>0</v>
      </c>
      <c r="I118" s="2661">
        <f>I123</f>
        <v>598.5</v>
      </c>
      <c r="J118" s="2662">
        <f>J123</f>
        <v>598.5</v>
      </c>
      <c r="K118" s="2631"/>
      <c r="L118" s="2631"/>
      <c r="M118" s="2631"/>
      <c r="N118" s="2663">
        <f>N123</f>
        <v>0</v>
      </c>
      <c r="O118" s="2631"/>
      <c r="P118" s="2631"/>
      <c r="Q118" s="2631"/>
      <c r="R118" s="2631"/>
      <c r="S118" s="2631"/>
      <c r="T118" s="2631"/>
      <c r="U118" s="2660">
        <f>U123</f>
        <v>0</v>
      </c>
    </row>
    <row r="119" spans="1:25" ht="33" hidden="1" customHeight="1" x14ac:dyDescent="0.35">
      <c r="A119" s="1179"/>
      <c r="B119" s="753" t="s">
        <v>1004</v>
      </c>
      <c r="C119" s="1180"/>
      <c r="D119" s="2750" t="s">
        <v>456</v>
      </c>
      <c r="E119" s="2750" t="s">
        <v>573</v>
      </c>
      <c r="F119" s="2750" t="s">
        <v>1005</v>
      </c>
      <c r="G119" s="2751"/>
      <c r="H119" s="2660">
        <f>H120</f>
        <v>0</v>
      </c>
      <c r="I119" s="2661">
        <f>I120</f>
        <v>0</v>
      </c>
      <c r="J119" s="2662">
        <f>J120</f>
        <v>0</v>
      </c>
      <c r="K119" s="2631"/>
      <c r="L119" s="2631"/>
      <c r="M119" s="2631"/>
      <c r="N119" s="2663">
        <f>N120</f>
        <v>0</v>
      </c>
      <c r="O119" s="2631"/>
      <c r="P119" s="2631"/>
      <c r="Q119" s="2631"/>
      <c r="R119" s="2631"/>
      <c r="S119" s="2631"/>
      <c r="T119" s="2631"/>
      <c r="U119" s="2660">
        <f>U120</f>
        <v>0</v>
      </c>
    </row>
    <row r="120" spans="1:25" ht="21" hidden="1" x14ac:dyDescent="0.35">
      <c r="A120" s="842"/>
      <c r="B120" s="1182" t="s">
        <v>571</v>
      </c>
      <c r="C120" s="1183"/>
      <c r="D120" s="2750" t="s">
        <v>456</v>
      </c>
      <c r="E120" s="2750" t="s">
        <v>573</v>
      </c>
      <c r="F120" s="2750" t="s">
        <v>1005</v>
      </c>
      <c r="G120" s="2751" t="s">
        <v>5</v>
      </c>
      <c r="H120" s="2660"/>
      <c r="I120" s="2661"/>
      <c r="J120" s="2662"/>
      <c r="K120" s="2631"/>
      <c r="L120" s="2631"/>
      <c r="M120" s="2631"/>
      <c r="N120" s="2663"/>
      <c r="O120" s="2631"/>
      <c r="P120" s="2631"/>
      <c r="Q120" s="2631"/>
      <c r="R120" s="2631"/>
      <c r="S120" s="2631"/>
      <c r="T120" s="2631"/>
      <c r="U120" s="2660"/>
    </row>
    <row r="121" spans="1:25" ht="32.5" hidden="1" x14ac:dyDescent="0.35">
      <c r="A121" s="842"/>
      <c r="B121" s="1199" t="s">
        <v>151</v>
      </c>
      <c r="C121" s="1188"/>
      <c r="D121" s="2750" t="s">
        <v>456</v>
      </c>
      <c r="E121" s="2750" t="s">
        <v>452</v>
      </c>
      <c r="F121" s="2750" t="s">
        <v>150</v>
      </c>
      <c r="G121" s="2751"/>
      <c r="H121" s="2660">
        <f>H122</f>
        <v>0</v>
      </c>
      <c r="I121" s="2661">
        <f>I122</f>
        <v>0</v>
      </c>
      <c r="J121" s="2662">
        <f>J122</f>
        <v>0</v>
      </c>
      <c r="K121" s="2631"/>
      <c r="L121" s="2631"/>
      <c r="M121" s="2631"/>
      <c r="N121" s="2663">
        <f>N122</f>
        <v>0</v>
      </c>
      <c r="O121" s="2631"/>
      <c r="P121" s="2631"/>
      <c r="Q121" s="2631"/>
      <c r="R121" s="2631"/>
      <c r="S121" s="2631"/>
      <c r="T121" s="2631"/>
      <c r="U121" s="2660">
        <f>U122</f>
        <v>0</v>
      </c>
    </row>
    <row r="122" spans="1:25" hidden="1" x14ac:dyDescent="0.35">
      <c r="A122" s="842"/>
      <c r="B122" s="1182" t="s">
        <v>575</v>
      </c>
      <c r="C122" s="1183"/>
      <c r="D122" s="2750" t="s">
        <v>456</v>
      </c>
      <c r="E122" s="2750" t="s">
        <v>452</v>
      </c>
      <c r="F122" s="2750" t="s">
        <v>150</v>
      </c>
      <c r="G122" s="2751" t="s">
        <v>120</v>
      </c>
      <c r="H122" s="2660"/>
      <c r="I122" s="2661"/>
      <c r="J122" s="2662"/>
      <c r="K122" s="2631"/>
      <c r="L122" s="2631"/>
      <c r="M122" s="2631"/>
      <c r="N122" s="2663"/>
      <c r="O122" s="2631"/>
      <c r="P122" s="2631"/>
      <c r="Q122" s="2631"/>
      <c r="R122" s="2631"/>
      <c r="S122" s="2631"/>
      <c r="T122" s="2631"/>
      <c r="U122" s="2660"/>
    </row>
    <row r="123" spans="1:25" ht="52" hidden="1" x14ac:dyDescent="0.35">
      <c r="A123" s="842"/>
      <c r="B123" s="398" t="s">
        <v>574</v>
      </c>
      <c r="C123" s="1188"/>
      <c r="D123" s="2750" t="s">
        <v>456</v>
      </c>
      <c r="E123" s="2750" t="s">
        <v>573</v>
      </c>
      <c r="F123" s="2750" t="s">
        <v>127</v>
      </c>
      <c r="G123" s="2751"/>
      <c r="H123" s="2660">
        <f>H124+H125</f>
        <v>0</v>
      </c>
      <c r="I123" s="2661">
        <f>I124+I125</f>
        <v>598.5</v>
      </c>
      <c r="J123" s="2662">
        <f>J124+J125</f>
        <v>598.5</v>
      </c>
      <c r="K123" s="2631"/>
      <c r="L123" s="2631"/>
      <c r="M123" s="2631"/>
      <c r="N123" s="2663">
        <f>N124+N125</f>
        <v>0</v>
      </c>
      <c r="O123" s="2631"/>
      <c r="P123" s="2631"/>
      <c r="Q123" s="2631"/>
      <c r="R123" s="2631"/>
      <c r="S123" s="2631"/>
      <c r="T123" s="2631"/>
      <c r="U123" s="2660">
        <f>U124+U125</f>
        <v>0</v>
      </c>
    </row>
    <row r="124" spans="1:25" ht="21" hidden="1" x14ac:dyDescent="0.35">
      <c r="A124" s="842"/>
      <c r="B124" s="1182" t="s">
        <v>571</v>
      </c>
      <c r="C124" s="1183"/>
      <c r="D124" s="2750" t="s">
        <v>456</v>
      </c>
      <c r="E124" s="2750" t="s">
        <v>573</v>
      </c>
      <c r="F124" s="2750" t="s">
        <v>127</v>
      </c>
      <c r="G124" s="2751" t="s">
        <v>5</v>
      </c>
      <c r="H124" s="2660"/>
      <c r="I124" s="2661">
        <v>561.29999999999995</v>
      </c>
      <c r="J124" s="2662">
        <v>561.29999999999995</v>
      </c>
      <c r="K124" s="2631"/>
      <c r="L124" s="2631"/>
      <c r="M124" s="2631"/>
      <c r="N124" s="2663"/>
      <c r="O124" s="2631"/>
      <c r="P124" s="2631"/>
      <c r="Q124" s="2631"/>
      <c r="R124" s="2631"/>
      <c r="S124" s="2631"/>
      <c r="T124" s="2631"/>
      <c r="U124" s="2660"/>
    </row>
    <row r="125" spans="1:25" ht="21" hidden="1" x14ac:dyDescent="0.35">
      <c r="A125" s="842"/>
      <c r="B125" s="1182" t="s">
        <v>454</v>
      </c>
      <c r="C125" s="1183"/>
      <c r="D125" s="2750" t="s">
        <v>456</v>
      </c>
      <c r="E125" s="2750" t="s">
        <v>573</v>
      </c>
      <c r="F125" s="2750" t="s">
        <v>127</v>
      </c>
      <c r="G125" s="2751" t="s">
        <v>1</v>
      </c>
      <c r="H125" s="2660"/>
      <c r="I125" s="2661">
        <v>37.200000000000003</v>
      </c>
      <c r="J125" s="2662">
        <v>37.200000000000003</v>
      </c>
      <c r="K125" s="2631"/>
      <c r="L125" s="2631"/>
      <c r="M125" s="2631"/>
      <c r="N125" s="2663"/>
      <c r="O125" s="2631"/>
      <c r="P125" s="2631"/>
      <c r="Q125" s="2631"/>
      <c r="R125" s="2631"/>
      <c r="S125" s="2631"/>
      <c r="T125" s="2631"/>
      <c r="U125" s="2660"/>
    </row>
    <row r="126" spans="1:25" x14ac:dyDescent="0.35">
      <c r="A126" s="842"/>
      <c r="B126" s="1252" t="s">
        <v>412</v>
      </c>
      <c r="C126" s="1183"/>
      <c r="D126" s="2750" t="s">
        <v>488</v>
      </c>
      <c r="E126" s="2750" t="s">
        <v>459</v>
      </c>
      <c r="F126" s="2750"/>
      <c r="G126" s="2751"/>
      <c r="H126" s="2660">
        <f>H127</f>
        <v>892</v>
      </c>
      <c r="I126" s="2661">
        <f t="shared" ref="I126:J130" si="27">I127</f>
        <v>0</v>
      </c>
      <c r="J126" s="2662">
        <f t="shared" si="27"/>
        <v>0</v>
      </c>
      <c r="K126" s="2631"/>
      <c r="L126" s="2631"/>
      <c r="M126" s="2631"/>
      <c r="N126" s="2663">
        <f>N127</f>
        <v>892</v>
      </c>
      <c r="O126" s="2631"/>
      <c r="P126" s="2631"/>
      <c r="Q126" s="2631"/>
      <c r="R126" s="2631"/>
      <c r="S126" s="2631"/>
      <c r="T126" s="2631"/>
      <c r="U126" s="2660">
        <f>U127</f>
        <v>0</v>
      </c>
      <c r="V126" s="1861">
        <v>834.7</v>
      </c>
      <c r="W126" s="1861">
        <v>844.2</v>
      </c>
      <c r="X126" s="1861">
        <v>874.4</v>
      </c>
      <c r="Y126" s="2266" t="s">
        <v>444</v>
      </c>
    </row>
    <row r="127" spans="1:25" x14ac:dyDescent="0.35">
      <c r="A127" s="842"/>
      <c r="B127" s="1252" t="s">
        <v>6</v>
      </c>
      <c r="C127" s="1183"/>
      <c r="D127" s="2750" t="s">
        <v>488</v>
      </c>
      <c r="E127" s="2750" t="s">
        <v>495</v>
      </c>
      <c r="F127" s="2750"/>
      <c r="G127" s="2751"/>
      <c r="H127" s="2660">
        <f>H128</f>
        <v>892</v>
      </c>
      <c r="I127" s="2661">
        <f t="shared" si="27"/>
        <v>0</v>
      </c>
      <c r="J127" s="2662">
        <f t="shared" si="27"/>
        <v>0</v>
      </c>
      <c r="K127" s="2639">
        <v>727.8</v>
      </c>
      <c r="L127" s="2631"/>
      <c r="M127" s="2631"/>
      <c r="N127" s="2663">
        <f>N128</f>
        <v>892</v>
      </c>
      <c r="O127" s="2631"/>
      <c r="P127" s="2631"/>
      <c r="Q127" s="2631"/>
      <c r="R127" s="2631"/>
      <c r="S127" s="2631"/>
      <c r="T127" s="2631"/>
      <c r="U127" s="2660">
        <f>U128</f>
        <v>0</v>
      </c>
    </row>
    <row r="128" spans="1:25" ht="31.5" x14ac:dyDescent="0.35">
      <c r="A128" s="842"/>
      <c r="B128" s="753" t="s">
        <v>499</v>
      </c>
      <c r="C128" s="1183"/>
      <c r="D128" s="2750" t="s">
        <v>488</v>
      </c>
      <c r="E128" s="2750" t="s">
        <v>495</v>
      </c>
      <c r="F128" s="2750" t="s">
        <v>89</v>
      </c>
      <c r="G128" s="2751"/>
      <c r="H128" s="2660">
        <f>H129</f>
        <v>892</v>
      </c>
      <c r="I128" s="2661">
        <f t="shared" si="27"/>
        <v>0</v>
      </c>
      <c r="J128" s="2662">
        <f t="shared" si="27"/>
        <v>0</v>
      </c>
      <c r="K128" s="2631"/>
      <c r="L128" s="2631"/>
      <c r="M128" s="2631"/>
      <c r="N128" s="2663">
        <f>N129</f>
        <v>892</v>
      </c>
      <c r="O128" s="2631"/>
      <c r="P128" s="2631"/>
      <c r="Q128" s="2631"/>
      <c r="R128" s="2631"/>
      <c r="S128" s="2631"/>
      <c r="T128" s="2631"/>
      <c r="U128" s="2660">
        <f>U129</f>
        <v>0</v>
      </c>
    </row>
    <row r="129" spans="1:28" x14ac:dyDescent="0.35">
      <c r="A129" s="842"/>
      <c r="B129" s="753" t="s">
        <v>109</v>
      </c>
      <c r="C129" s="1183"/>
      <c r="D129" s="2750" t="s">
        <v>488</v>
      </c>
      <c r="E129" s="2750" t="s">
        <v>495</v>
      </c>
      <c r="F129" s="2750" t="s">
        <v>84</v>
      </c>
      <c r="G129" s="2751"/>
      <c r="H129" s="2660">
        <f>H130</f>
        <v>892</v>
      </c>
      <c r="I129" s="2661">
        <f t="shared" si="27"/>
        <v>0</v>
      </c>
      <c r="J129" s="2662">
        <f t="shared" si="27"/>
        <v>0</v>
      </c>
      <c r="K129" s="2631"/>
      <c r="L129" s="2631"/>
      <c r="M129" s="2631"/>
      <c r="N129" s="2663">
        <f>N130</f>
        <v>892</v>
      </c>
      <c r="O129" s="2631"/>
      <c r="P129" s="2631"/>
      <c r="Q129" s="2631"/>
      <c r="R129" s="2631"/>
      <c r="S129" s="2631"/>
      <c r="T129" s="2631"/>
      <c r="U129" s="2660">
        <f>U130</f>
        <v>0</v>
      </c>
    </row>
    <row r="130" spans="1:28" x14ac:dyDescent="0.35">
      <c r="A130" s="842"/>
      <c r="B130" s="753" t="s">
        <v>109</v>
      </c>
      <c r="C130" s="1183"/>
      <c r="D130" s="2750" t="s">
        <v>488</v>
      </c>
      <c r="E130" s="2750" t="s">
        <v>495</v>
      </c>
      <c r="F130" s="2750" t="s">
        <v>82</v>
      </c>
      <c r="G130" s="2751"/>
      <c r="H130" s="2660">
        <f>H131</f>
        <v>892</v>
      </c>
      <c r="I130" s="2661">
        <f t="shared" si="27"/>
        <v>0</v>
      </c>
      <c r="J130" s="2662">
        <f t="shared" si="27"/>
        <v>0</v>
      </c>
      <c r="K130" s="2631"/>
      <c r="L130" s="2631"/>
      <c r="M130" s="2631"/>
      <c r="N130" s="2663">
        <f>N131</f>
        <v>892</v>
      </c>
      <c r="O130" s="2631"/>
      <c r="P130" s="2631"/>
      <c r="Q130" s="2631"/>
      <c r="R130" s="2631"/>
      <c r="S130" s="2631"/>
      <c r="T130" s="2631"/>
      <c r="U130" s="2660">
        <f>U131</f>
        <v>0</v>
      </c>
    </row>
    <row r="131" spans="1:28" ht="21" x14ac:dyDescent="0.35">
      <c r="A131" s="842"/>
      <c r="B131" s="1213" t="s">
        <v>8</v>
      </c>
      <c r="C131" s="1183"/>
      <c r="D131" s="2750" t="s">
        <v>488</v>
      </c>
      <c r="E131" s="2750" t="s">
        <v>495</v>
      </c>
      <c r="F131" s="2750" t="s">
        <v>2</v>
      </c>
      <c r="G131" s="2751"/>
      <c r="H131" s="2660">
        <f>H133+H135</f>
        <v>892</v>
      </c>
      <c r="I131" s="2661">
        <f>I133+I135</f>
        <v>0</v>
      </c>
      <c r="J131" s="2662">
        <f>J133+J135</f>
        <v>0</v>
      </c>
      <c r="K131" s="2631"/>
      <c r="L131" s="2631"/>
      <c r="M131" s="2631"/>
      <c r="N131" s="2663">
        <f>N133+N135</f>
        <v>892</v>
      </c>
      <c r="O131" s="2631"/>
      <c r="P131" s="2631"/>
      <c r="Q131" s="2631"/>
      <c r="R131" s="2631"/>
      <c r="S131" s="2631"/>
      <c r="T131" s="2631"/>
      <c r="U131" s="2660">
        <f>U133+U135</f>
        <v>0</v>
      </c>
    </row>
    <row r="132" spans="1:28" ht="52" x14ac:dyDescent="0.35">
      <c r="A132" s="842"/>
      <c r="B132" s="49" t="s">
        <v>1063</v>
      </c>
      <c r="C132" s="1183"/>
      <c r="D132" s="2750" t="s">
        <v>488</v>
      </c>
      <c r="E132" s="2750" t="s">
        <v>495</v>
      </c>
      <c r="F132" s="2750" t="s">
        <v>2</v>
      </c>
      <c r="G132" s="2751" t="s">
        <v>1062</v>
      </c>
      <c r="H132" s="2660">
        <f t="shared" ref="H132:U132" si="28">H133</f>
        <v>862.83299999999997</v>
      </c>
      <c r="I132" s="2661">
        <f t="shared" si="28"/>
        <v>0</v>
      </c>
      <c r="J132" s="2662">
        <f t="shared" si="28"/>
        <v>0</v>
      </c>
      <c r="K132" s="2631">
        <f t="shared" si="28"/>
        <v>0</v>
      </c>
      <c r="L132" s="2631">
        <f t="shared" si="28"/>
        <v>0</v>
      </c>
      <c r="M132" s="2631">
        <f t="shared" si="28"/>
        <v>0</v>
      </c>
      <c r="N132" s="2663">
        <f t="shared" si="28"/>
        <v>862.83299999999997</v>
      </c>
      <c r="O132" s="2631">
        <f t="shared" si="28"/>
        <v>0</v>
      </c>
      <c r="P132" s="2631">
        <f t="shared" si="28"/>
        <v>0</v>
      </c>
      <c r="Q132" s="2631">
        <f t="shared" si="28"/>
        <v>0</v>
      </c>
      <c r="R132" s="2631">
        <f t="shared" si="28"/>
        <v>0</v>
      </c>
      <c r="S132" s="2631">
        <f t="shared" si="28"/>
        <v>0</v>
      </c>
      <c r="T132" s="2631">
        <f t="shared" si="28"/>
        <v>0</v>
      </c>
      <c r="U132" s="2660">
        <f t="shared" si="28"/>
        <v>0</v>
      </c>
    </row>
    <row r="133" spans="1:28" ht="21" x14ac:dyDescent="0.35">
      <c r="A133" s="842"/>
      <c r="B133" s="1182" t="s">
        <v>571</v>
      </c>
      <c r="C133" s="1183"/>
      <c r="D133" s="2750" t="s">
        <v>488</v>
      </c>
      <c r="E133" s="2750" t="s">
        <v>495</v>
      </c>
      <c r="F133" s="2750" t="s">
        <v>2</v>
      </c>
      <c r="G133" s="2751" t="s">
        <v>5</v>
      </c>
      <c r="H133" s="2660">
        <v>862.83299999999997</v>
      </c>
      <c r="I133" s="2661"/>
      <c r="J133" s="2662"/>
      <c r="K133" s="2631"/>
      <c r="L133" s="2631"/>
      <c r="M133" s="2631"/>
      <c r="N133" s="2663">
        <v>862.83299999999997</v>
      </c>
      <c r="O133" s="2631"/>
      <c r="P133" s="2631"/>
      <c r="Q133" s="2631"/>
      <c r="R133" s="2631"/>
      <c r="S133" s="2631"/>
      <c r="T133" s="2631"/>
      <c r="U133" s="2660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1" x14ac:dyDescent="0.35">
      <c r="A134" s="842"/>
      <c r="B134" s="753" t="s">
        <v>948</v>
      </c>
      <c r="C134" s="1183"/>
      <c r="D134" s="2750" t="s">
        <v>488</v>
      </c>
      <c r="E134" s="2750" t="s">
        <v>495</v>
      </c>
      <c r="F134" s="2750" t="s">
        <v>2</v>
      </c>
      <c r="G134" s="2751" t="s">
        <v>955</v>
      </c>
      <c r="H134" s="2660">
        <f t="shared" ref="H134:U134" si="29">H135</f>
        <v>29.167000000000002</v>
      </c>
      <c r="I134" s="2661">
        <f t="shared" si="29"/>
        <v>0</v>
      </c>
      <c r="J134" s="2662">
        <f t="shared" si="29"/>
        <v>0</v>
      </c>
      <c r="K134" s="2631">
        <f t="shared" si="29"/>
        <v>0</v>
      </c>
      <c r="L134" s="2631">
        <f t="shared" si="29"/>
        <v>0</v>
      </c>
      <c r="M134" s="2631">
        <f t="shared" si="29"/>
        <v>0</v>
      </c>
      <c r="N134" s="2663">
        <f t="shared" si="29"/>
        <v>29.167000000000002</v>
      </c>
      <c r="O134" s="2631">
        <f t="shared" si="29"/>
        <v>0</v>
      </c>
      <c r="P134" s="2631">
        <f t="shared" si="29"/>
        <v>0</v>
      </c>
      <c r="Q134" s="2631">
        <f t="shared" si="29"/>
        <v>0</v>
      </c>
      <c r="R134" s="2631">
        <f t="shared" si="29"/>
        <v>0</v>
      </c>
      <c r="S134" s="2631">
        <f t="shared" si="29"/>
        <v>0</v>
      </c>
      <c r="T134" s="2631">
        <f t="shared" si="29"/>
        <v>0</v>
      </c>
      <c r="U134" s="2660">
        <f t="shared" si="29"/>
        <v>0</v>
      </c>
      <c r="V134" s="2"/>
      <c r="W134" s="2"/>
      <c r="X134" s="2"/>
    </row>
    <row r="135" spans="1:28" ht="21" x14ac:dyDescent="0.35">
      <c r="A135" s="842"/>
      <c r="B135" s="1182" t="s">
        <v>454</v>
      </c>
      <c r="C135" s="1183"/>
      <c r="D135" s="2750" t="s">
        <v>488</v>
      </c>
      <c r="E135" s="2750" t="s">
        <v>495</v>
      </c>
      <c r="F135" s="2750" t="s">
        <v>2</v>
      </c>
      <c r="G135" s="2751" t="s">
        <v>1</v>
      </c>
      <c r="H135" s="2660">
        <v>29.167000000000002</v>
      </c>
      <c r="I135" s="2661"/>
      <c r="J135" s="2662"/>
      <c r="K135" s="2631"/>
      <c r="L135" s="2631"/>
      <c r="M135" s="2631"/>
      <c r="N135" s="2663">
        <v>29.167000000000002</v>
      </c>
      <c r="O135" s="2631"/>
      <c r="P135" s="2631"/>
      <c r="Q135" s="2631"/>
      <c r="R135" s="2631"/>
      <c r="S135" s="2631"/>
      <c r="T135" s="2631"/>
      <c r="U135" s="2660">
        <v>0</v>
      </c>
      <c r="V135" s="2"/>
      <c r="W135" s="2"/>
      <c r="X135" s="2">
        <v>27.576000000000001</v>
      </c>
    </row>
    <row r="136" spans="1:28" x14ac:dyDescent="0.35">
      <c r="A136" s="1179"/>
      <c r="B136" s="1214" t="s">
        <v>407</v>
      </c>
      <c r="C136" s="1177"/>
      <c r="D136" s="2750" t="s">
        <v>495</v>
      </c>
      <c r="E136" s="2750" t="s">
        <v>459</v>
      </c>
      <c r="F136" s="2750"/>
      <c r="G136" s="2751"/>
      <c r="H136" s="2660">
        <f>H137+H166</f>
        <v>744.30000000000007</v>
      </c>
      <c r="I136" s="2661">
        <f>I137</f>
        <v>0</v>
      </c>
      <c r="J136" s="2662">
        <f>J137</f>
        <v>0</v>
      </c>
      <c r="K136" s="2631"/>
      <c r="L136" s="2631"/>
      <c r="M136" s="2631"/>
      <c r="N136" s="2660">
        <f t="shared" ref="N136:U136" si="30">N137+N148+N166</f>
        <v>799.1</v>
      </c>
      <c r="O136" s="2631">
        <f t="shared" si="30"/>
        <v>0</v>
      </c>
      <c r="P136" s="2631">
        <f t="shared" si="30"/>
        <v>0</v>
      </c>
      <c r="Q136" s="2631">
        <f t="shared" si="30"/>
        <v>0</v>
      </c>
      <c r="R136" s="2631">
        <f t="shared" si="30"/>
        <v>0</v>
      </c>
      <c r="S136" s="2631">
        <f t="shared" si="30"/>
        <v>0</v>
      </c>
      <c r="T136" s="2631">
        <f t="shared" si="30"/>
        <v>0</v>
      </c>
      <c r="U136" s="2660">
        <f t="shared" si="30"/>
        <v>608.1</v>
      </c>
    </row>
    <row r="137" spans="1:28" ht="23" x14ac:dyDescent="0.35">
      <c r="A137" s="842"/>
      <c r="B137" s="1184" t="s">
        <v>1204</v>
      </c>
      <c r="C137" s="1177"/>
      <c r="D137" s="2750" t="s">
        <v>495</v>
      </c>
      <c r="E137" s="2750" t="s">
        <v>496</v>
      </c>
      <c r="F137" s="2750"/>
      <c r="G137" s="2751"/>
      <c r="H137" s="2660">
        <f>H138+H161</f>
        <v>737.2</v>
      </c>
      <c r="I137" s="2661">
        <f>I138+I169</f>
        <v>0</v>
      </c>
      <c r="J137" s="2662">
        <f>J138+J169</f>
        <v>0</v>
      </c>
      <c r="K137" s="2631"/>
      <c r="L137" s="2631"/>
      <c r="M137" s="2631"/>
      <c r="N137" s="2660">
        <f>N138+N161</f>
        <v>792</v>
      </c>
      <c r="O137" s="2631"/>
      <c r="P137" s="2631"/>
      <c r="Q137" s="2631"/>
      <c r="R137" s="2631"/>
      <c r="S137" s="2631"/>
      <c r="T137" s="2631"/>
      <c r="U137" s="2660">
        <f>U138+U161</f>
        <v>601</v>
      </c>
    </row>
    <row r="138" spans="1:28" ht="31.5" x14ac:dyDescent="0.35">
      <c r="A138" s="1179"/>
      <c r="B138" s="1205" t="s">
        <v>912</v>
      </c>
      <c r="C138" s="1215"/>
      <c r="D138" s="2750" t="s">
        <v>495</v>
      </c>
      <c r="E138" s="2750" t="s">
        <v>496</v>
      </c>
      <c r="F138" s="2750" t="s">
        <v>240</v>
      </c>
      <c r="G138" s="2751"/>
      <c r="H138" s="2660">
        <f>H139+H151</f>
        <v>737.2</v>
      </c>
      <c r="I138" s="2661">
        <f>I139+I156</f>
        <v>0</v>
      </c>
      <c r="J138" s="2662">
        <f>J139+J156</f>
        <v>0</v>
      </c>
      <c r="K138" s="2639">
        <f>K143+K154+K160</f>
        <v>0</v>
      </c>
      <c r="L138" s="2631"/>
      <c r="M138" s="2631"/>
      <c r="N138" s="2663">
        <f>N139+N151</f>
        <v>792</v>
      </c>
      <c r="O138" s="2631">
        <f t="shared" ref="O138:T138" si="31">O139+O156</f>
        <v>0</v>
      </c>
      <c r="P138" s="2631">
        <f t="shared" si="31"/>
        <v>0</v>
      </c>
      <c r="Q138" s="2631">
        <f t="shared" si="31"/>
        <v>0</v>
      </c>
      <c r="R138" s="2631">
        <f t="shared" si="31"/>
        <v>0</v>
      </c>
      <c r="S138" s="2631">
        <f t="shared" si="31"/>
        <v>0</v>
      </c>
      <c r="T138" s="2631">
        <f t="shared" si="31"/>
        <v>0</v>
      </c>
      <c r="U138" s="2660">
        <f>U139+U151</f>
        <v>601</v>
      </c>
    </row>
    <row r="139" spans="1:28" ht="43" customHeight="1" x14ac:dyDescent="0.35">
      <c r="A139" s="1179"/>
      <c r="B139" s="1216" t="s">
        <v>1208</v>
      </c>
      <c r="C139" s="1215"/>
      <c r="D139" s="2757" t="s">
        <v>495</v>
      </c>
      <c r="E139" s="2757" t="s">
        <v>496</v>
      </c>
      <c r="F139" s="2757" t="s">
        <v>238</v>
      </c>
      <c r="G139" s="2758"/>
      <c r="H139" s="2660">
        <f>H140</f>
        <v>130</v>
      </c>
      <c r="I139" s="2661">
        <f>I140+I151</f>
        <v>0</v>
      </c>
      <c r="J139" s="2662">
        <f>J140+J151</f>
        <v>0</v>
      </c>
      <c r="K139" s="2631"/>
      <c r="L139" s="2631"/>
      <c r="M139" s="2631"/>
      <c r="N139" s="2663">
        <f>N140</f>
        <v>230</v>
      </c>
      <c r="O139" s="2631">
        <f t="shared" ref="O139:T139" si="32">O143+O154</f>
        <v>0</v>
      </c>
      <c r="P139" s="2631">
        <f t="shared" si="32"/>
        <v>0</v>
      </c>
      <c r="Q139" s="2631">
        <f t="shared" si="32"/>
        <v>0</v>
      </c>
      <c r="R139" s="2631">
        <f t="shared" si="32"/>
        <v>0</v>
      </c>
      <c r="S139" s="2631">
        <f t="shared" si="32"/>
        <v>0</v>
      </c>
      <c r="T139" s="2631">
        <f t="shared" si="32"/>
        <v>0</v>
      </c>
      <c r="U139" s="2660">
        <f>U140</f>
        <v>230</v>
      </c>
    </row>
    <row r="140" spans="1:28" ht="31.5" x14ac:dyDescent="0.35">
      <c r="A140" s="1179"/>
      <c r="B140" s="1197" t="s">
        <v>236</v>
      </c>
      <c r="C140" s="1215"/>
      <c r="D140" s="2757" t="s">
        <v>495</v>
      </c>
      <c r="E140" s="2757" t="s">
        <v>496</v>
      </c>
      <c r="F140" s="2757" t="s">
        <v>235</v>
      </c>
      <c r="G140" s="2758"/>
      <c r="H140" s="2660">
        <f>H141+H144+H146</f>
        <v>130</v>
      </c>
      <c r="I140" s="2661">
        <f>I141+I144+I146</f>
        <v>0</v>
      </c>
      <c r="J140" s="2662">
        <f>J141+J144+J146</f>
        <v>0</v>
      </c>
      <c r="K140" s="2631"/>
      <c r="L140" s="2631"/>
      <c r="M140" s="2631"/>
      <c r="N140" s="2663">
        <f t="shared" ref="N140:U140" si="33">N141+N144+N146</f>
        <v>230</v>
      </c>
      <c r="O140" s="2631">
        <f t="shared" si="33"/>
        <v>0</v>
      </c>
      <c r="P140" s="2631">
        <f t="shared" si="33"/>
        <v>0</v>
      </c>
      <c r="Q140" s="2631">
        <f t="shared" si="33"/>
        <v>0</v>
      </c>
      <c r="R140" s="2631">
        <f t="shared" si="33"/>
        <v>0</v>
      </c>
      <c r="S140" s="2631">
        <f t="shared" si="33"/>
        <v>0</v>
      </c>
      <c r="T140" s="2631">
        <f t="shared" si="33"/>
        <v>0</v>
      </c>
      <c r="U140" s="2660">
        <f t="shared" si="33"/>
        <v>230</v>
      </c>
    </row>
    <row r="141" spans="1:28" ht="21" x14ac:dyDescent="0.35">
      <c r="A141" s="1179"/>
      <c r="B141" s="1218" t="s">
        <v>237</v>
      </c>
      <c r="C141" s="1215"/>
      <c r="D141" s="2757" t="s">
        <v>495</v>
      </c>
      <c r="E141" s="2757" t="s">
        <v>496</v>
      </c>
      <c r="F141" s="2757" t="s">
        <v>233</v>
      </c>
      <c r="G141" s="2758"/>
      <c r="H141" s="2660">
        <f>H143</f>
        <v>130</v>
      </c>
      <c r="I141" s="2661">
        <f>I143</f>
        <v>0</v>
      </c>
      <c r="J141" s="2662">
        <f>J143</f>
        <v>0</v>
      </c>
      <c r="K141" s="2631"/>
      <c r="L141" s="2631"/>
      <c r="M141" s="2631"/>
      <c r="N141" s="2663">
        <f>N143</f>
        <v>230</v>
      </c>
      <c r="O141" s="2631"/>
      <c r="P141" s="2631"/>
      <c r="Q141" s="2631"/>
      <c r="R141" s="2631"/>
      <c r="S141" s="2631"/>
      <c r="T141" s="2631"/>
      <c r="U141" s="2660">
        <f>U143</f>
        <v>230</v>
      </c>
    </row>
    <row r="142" spans="1:28" ht="21" x14ac:dyDescent="0.35">
      <c r="A142" s="1179"/>
      <c r="B142" s="753" t="s">
        <v>948</v>
      </c>
      <c r="C142" s="1215"/>
      <c r="D142" s="2757" t="s">
        <v>495</v>
      </c>
      <c r="E142" s="2757" t="s">
        <v>496</v>
      </c>
      <c r="F142" s="2757" t="s">
        <v>233</v>
      </c>
      <c r="G142" s="2758" t="s">
        <v>955</v>
      </c>
      <c r="H142" s="2660">
        <f t="shared" ref="H142:U142" si="34">H143</f>
        <v>130</v>
      </c>
      <c r="I142" s="2661">
        <f t="shared" si="34"/>
        <v>0</v>
      </c>
      <c r="J142" s="2662">
        <f t="shared" si="34"/>
        <v>0</v>
      </c>
      <c r="K142" s="2631">
        <f t="shared" si="34"/>
        <v>0</v>
      </c>
      <c r="L142" s="2631">
        <f t="shared" si="34"/>
        <v>0</v>
      </c>
      <c r="M142" s="2631">
        <f t="shared" si="34"/>
        <v>0</v>
      </c>
      <c r="N142" s="2663">
        <f t="shared" si="34"/>
        <v>230</v>
      </c>
      <c r="O142" s="2631">
        <f t="shared" si="34"/>
        <v>0</v>
      </c>
      <c r="P142" s="2631">
        <f t="shared" si="34"/>
        <v>0</v>
      </c>
      <c r="Q142" s="2631">
        <f t="shared" si="34"/>
        <v>0</v>
      </c>
      <c r="R142" s="2631">
        <f t="shared" si="34"/>
        <v>0</v>
      </c>
      <c r="S142" s="2631">
        <f t="shared" si="34"/>
        <v>0</v>
      </c>
      <c r="T142" s="2631">
        <f t="shared" si="34"/>
        <v>0</v>
      </c>
      <c r="U142" s="2660">
        <f t="shared" si="34"/>
        <v>230</v>
      </c>
    </row>
    <row r="143" spans="1:28" ht="21" x14ac:dyDescent="0.35">
      <c r="A143" s="1179"/>
      <c r="B143" s="1182" t="s">
        <v>454</v>
      </c>
      <c r="C143" s="1183"/>
      <c r="D143" s="2757" t="s">
        <v>495</v>
      </c>
      <c r="E143" s="2757" t="s">
        <v>496</v>
      </c>
      <c r="F143" s="2757" t="s">
        <v>233</v>
      </c>
      <c r="G143" s="2751" t="s">
        <v>1</v>
      </c>
      <c r="H143" s="2660">
        <v>130</v>
      </c>
      <c r="I143" s="2661"/>
      <c r="J143" s="2662"/>
      <c r="K143" s="2631"/>
      <c r="L143" s="2631"/>
      <c r="M143" s="2631"/>
      <c r="N143" s="2663">
        <v>230</v>
      </c>
      <c r="O143" s="2631"/>
      <c r="P143" s="2631"/>
      <c r="Q143" s="2631"/>
      <c r="R143" s="2631"/>
      <c r="S143" s="2631"/>
      <c r="T143" s="2631"/>
      <c r="U143" s="2660">
        <v>230</v>
      </c>
    </row>
    <row r="144" spans="1:28" hidden="1" x14ac:dyDescent="0.35">
      <c r="A144" s="1179"/>
      <c r="B144" s="1219" t="s">
        <v>568</v>
      </c>
      <c r="C144" s="1215"/>
      <c r="D144" s="2757" t="s">
        <v>495</v>
      </c>
      <c r="E144" s="2757" t="s">
        <v>539</v>
      </c>
      <c r="F144" s="2757" t="s">
        <v>233</v>
      </c>
      <c r="G144" s="2758" t="s">
        <v>91</v>
      </c>
      <c r="H144" s="2660"/>
      <c r="I144" s="2661">
        <f>I145</f>
        <v>0</v>
      </c>
      <c r="J144" s="2662">
        <f>J145</f>
        <v>0</v>
      </c>
      <c r="K144" s="2631"/>
      <c r="L144" s="2631"/>
      <c r="M144" s="2631"/>
      <c r="N144" s="2663">
        <f>N145</f>
        <v>0</v>
      </c>
      <c r="O144" s="2631"/>
      <c r="P144" s="2631"/>
      <c r="Q144" s="2631"/>
      <c r="R144" s="2631"/>
      <c r="S144" s="2631"/>
      <c r="T144" s="2631"/>
      <c r="U144" s="2660">
        <f>U145</f>
        <v>0</v>
      </c>
    </row>
    <row r="145" spans="1:21" ht="21" hidden="1" x14ac:dyDescent="0.35">
      <c r="A145" s="1179"/>
      <c r="B145" s="1182" t="s">
        <v>454</v>
      </c>
      <c r="C145" s="1183"/>
      <c r="D145" s="2757" t="s">
        <v>495</v>
      </c>
      <c r="E145" s="2757" t="s">
        <v>539</v>
      </c>
      <c r="F145" s="2757" t="s">
        <v>567</v>
      </c>
      <c r="G145" s="2751" t="s">
        <v>1</v>
      </c>
      <c r="H145" s="2660"/>
      <c r="I145" s="2661"/>
      <c r="J145" s="2662"/>
      <c r="K145" s="2631"/>
      <c r="L145" s="2631"/>
      <c r="M145" s="2631"/>
      <c r="N145" s="2663"/>
      <c r="O145" s="2631"/>
      <c r="P145" s="2631"/>
      <c r="Q145" s="2631"/>
      <c r="R145" s="2631"/>
      <c r="S145" s="2631"/>
      <c r="T145" s="2631"/>
      <c r="U145" s="2660"/>
    </row>
    <row r="146" spans="1:21" hidden="1" x14ac:dyDescent="0.35">
      <c r="A146" s="1179"/>
      <c r="B146" s="1219" t="s">
        <v>566</v>
      </c>
      <c r="C146" s="1215"/>
      <c r="D146" s="2757" t="s">
        <v>495</v>
      </c>
      <c r="E146" s="2757" t="s">
        <v>539</v>
      </c>
      <c r="F146" s="2757" t="s">
        <v>565</v>
      </c>
      <c r="G146" s="2758"/>
      <c r="H146" s="2660">
        <f>H147</f>
        <v>0</v>
      </c>
      <c r="I146" s="2661">
        <f>I147</f>
        <v>0</v>
      </c>
      <c r="J146" s="2662">
        <f>J147</f>
        <v>0</v>
      </c>
      <c r="K146" s="2631"/>
      <c r="L146" s="2631"/>
      <c r="M146" s="2631"/>
      <c r="N146" s="2663">
        <f>N147</f>
        <v>0</v>
      </c>
      <c r="O146" s="2631"/>
      <c r="P146" s="2631"/>
      <c r="Q146" s="2631"/>
      <c r="R146" s="2631"/>
      <c r="S146" s="2631"/>
      <c r="T146" s="2631"/>
      <c r="U146" s="2660">
        <f>U147</f>
        <v>0</v>
      </c>
    </row>
    <row r="147" spans="1:21" ht="21" hidden="1" x14ac:dyDescent="0.35">
      <c r="A147" s="1179"/>
      <c r="B147" s="1182" t="s">
        <v>454</v>
      </c>
      <c r="C147" s="1183"/>
      <c r="D147" s="2757" t="s">
        <v>495</v>
      </c>
      <c r="E147" s="2757" t="s">
        <v>539</v>
      </c>
      <c r="F147" s="2757" t="s">
        <v>565</v>
      </c>
      <c r="G147" s="2751" t="s">
        <v>1</v>
      </c>
      <c r="H147" s="2660"/>
      <c r="I147" s="2661"/>
      <c r="J147" s="2662"/>
      <c r="K147" s="2631"/>
      <c r="L147" s="2631"/>
      <c r="M147" s="2631"/>
      <c r="N147" s="2663"/>
      <c r="O147" s="2631"/>
      <c r="P147" s="2631"/>
      <c r="Q147" s="2631"/>
      <c r="R147" s="2631"/>
      <c r="S147" s="2631"/>
      <c r="T147" s="2631"/>
      <c r="U147" s="2660"/>
    </row>
    <row r="148" spans="1:21" ht="26.5" hidden="1" x14ac:dyDescent="0.35">
      <c r="A148" s="1179"/>
      <c r="B148" s="336" t="s">
        <v>1204</v>
      </c>
      <c r="C148" s="1183"/>
      <c r="D148" s="2750" t="s">
        <v>495</v>
      </c>
      <c r="E148" s="2750" t="s">
        <v>496</v>
      </c>
      <c r="F148" s="2757"/>
      <c r="G148" s="2751"/>
      <c r="H148" s="2660">
        <f>H149</f>
        <v>0</v>
      </c>
      <c r="I148" s="2661"/>
      <c r="J148" s="2662"/>
      <c r="K148" s="2631"/>
      <c r="L148" s="2631"/>
      <c r="M148" s="2631"/>
      <c r="N148" s="2663">
        <f t="shared" ref="N148:U148" si="35">N149</f>
        <v>0</v>
      </c>
      <c r="O148" s="2631">
        <f t="shared" si="35"/>
        <v>0</v>
      </c>
      <c r="P148" s="2631">
        <f t="shared" si="35"/>
        <v>0</v>
      </c>
      <c r="Q148" s="2631">
        <f t="shared" si="35"/>
        <v>0</v>
      </c>
      <c r="R148" s="2631">
        <f t="shared" si="35"/>
        <v>0</v>
      </c>
      <c r="S148" s="2631">
        <f t="shared" si="35"/>
        <v>0</v>
      </c>
      <c r="T148" s="2631">
        <f t="shared" si="35"/>
        <v>0</v>
      </c>
      <c r="U148" s="2660">
        <f t="shared" si="35"/>
        <v>0</v>
      </c>
    </row>
    <row r="149" spans="1:21" ht="31.5" hidden="1" x14ac:dyDescent="0.35">
      <c r="A149" s="1179"/>
      <c r="B149" s="1205" t="s">
        <v>912</v>
      </c>
      <c r="C149" s="1183"/>
      <c r="D149" s="2757" t="s">
        <v>495</v>
      </c>
      <c r="E149" s="2757" t="s">
        <v>496</v>
      </c>
      <c r="F149" s="2750" t="s">
        <v>240</v>
      </c>
      <c r="G149" s="2751"/>
      <c r="H149" s="2660"/>
      <c r="I149" s="2661"/>
      <c r="J149" s="2662"/>
      <c r="K149" s="2631"/>
      <c r="L149" s="2631"/>
      <c r="M149" s="2631"/>
      <c r="N149" s="2663"/>
      <c r="O149" s="2631"/>
      <c r="P149" s="2631"/>
      <c r="Q149" s="2631"/>
      <c r="R149" s="2631"/>
      <c r="S149" s="2631"/>
      <c r="T149" s="2631"/>
      <c r="U149" s="2660"/>
    </row>
    <row r="150" spans="1:21" ht="42" hidden="1" x14ac:dyDescent="0.35">
      <c r="A150" s="1179"/>
      <c r="B150" s="1216" t="s">
        <v>926</v>
      </c>
      <c r="C150" s="1183"/>
      <c r="D150" s="2757" t="s">
        <v>495</v>
      </c>
      <c r="E150" s="2757" t="s">
        <v>496</v>
      </c>
      <c r="F150" s="2757" t="s">
        <v>238</v>
      </c>
      <c r="G150" s="2751"/>
      <c r="H150" s="2660"/>
      <c r="I150" s="2661"/>
      <c r="J150" s="2662"/>
      <c r="K150" s="2631"/>
      <c r="L150" s="2631"/>
      <c r="M150" s="2631"/>
      <c r="N150" s="2663"/>
      <c r="O150" s="2631"/>
      <c r="P150" s="2631"/>
      <c r="Q150" s="2631"/>
      <c r="R150" s="2631"/>
      <c r="S150" s="2631"/>
      <c r="T150" s="2631"/>
      <c r="U150" s="2660"/>
    </row>
    <row r="151" spans="1:21" x14ac:dyDescent="0.35">
      <c r="A151" s="1179"/>
      <c r="B151" s="1219" t="s">
        <v>564</v>
      </c>
      <c r="C151" s="1215"/>
      <c r="D151" s="2757" t="s">
        <v>495</v>
      </c>
      <c r="E151" s="2757" t="s">
        <v>496</v>
      </c>
      <c r="F151" s="2757" t="s">
        <v>231</v>
      </c>
      <c r="G151" s="2758"/>
      <c r="H151" s="2660">
        <f>H154+H160</f>
        <v>607.20000000000005</v>
      </c>
      <c r="I151" s="2661">
        <f>I152</f>
        <v>0</v>
      </c>
      <c r="J151" s="2662">
        <f>J152</f>
        <v>0</v>
      </c>
      <c r="K151" s="2631"/>
      <c r="L151" s="2631"/>
      <c r="M151" s="2631"/>
      <c r="N151" s="2663">
        <f>N154+N160</f>
        <v>562</v>
      </c>
      <c r="O151" s="2631"/>
      <c r="P151" s="2631"/>
      <c r="Q151" s="2631"/>
      <c r="R151" s="2631"/>
      <c r="S151" s="2631"/>
      <c r="T151" s="2631"/>
      <c r="U151" s="2660">
        <f>U154+U160</f>
        <v>371</v>
      </c>
    </row>
    <row r="152" spans="1:21" x14ac:dyDescent="0.35">
      <c r="A152" s="1179"/>
      <c r="B152" s="1117" t="s">
        <v>563</v>
      </c>
      <c r="C152" s="1188"/>
      <c r="D152" s="2750" t="s">
        <v>495</v>
      </c>
      <c r="E152" s="2750" t="s">
        <v>496</v>
      </c>
      <c r="F152" s="2757" t="s">
        <v>229</v>
      </c>
      <c r="G152" s="2758"/>
      <c r="H152" s="2660">
        <f>H154+H155</f>
        <v>120</v>
      </c>
      <c r="I152" s="2661">
        <f>I154+I155</f>
        <v>0</v>
      </c>
      <c r="J152" s="2662">
        <f>J154+J155</f>
        <v>0</v>
      </c>
      <c r="K152" s="2631"/>
      <c r="L152" s="2631"/>
      <c r="M152" s="2631"/>
      <c r="N152" s="2663">
        <f>N154+N155</f>
        <v>320</v>
      </c>
      <c r="O152" s="2631"/>
      <c r="P152" s="2631"/>
      <c r="Q152" s="2631"/>
      <c r="R152" s="2631"/>
      <c r="S152" s="2631"/>
      <c r="T152" s="2631"/>
      <c r="U152" s="2660">
        <f>U154+U155</f>
        <v>120</v>
      </c>
    </row>
    <row r="153" spans="1:21" ht="21" x14ac:dyDescent="0.35">
      <c r="A153" s="1179"/>
      <c r="B153" s="753" t="s">
        <v>948</v>
      </c>
      <c r="C153" s="1188"/>
      <c r="D153" s="2750" t="s">
        <v>495</v>
      </c>
      <c r="E153" s="2750" t="s">
        <v>496</v>
      </c>
      <c r="F153" s="2757" t="s">
        <v>229</v>
      </c>
      <c r="G153" s="2758" t="s">
        <v>955</v>
      </c>
      <c r="H153" s="2660">
        <f t="shared" ref="H153:U153" si="36">H154</f>
        <v>120</v>
      </c>
      <c r="I153" s="2661">
        <f t="shared" si="36"/>
        <v>0</v>
      </c>
      <c r="J153" s="2662">
        <f t="shared" si="36"/>
        <v>0</v>
      </c>
      <c r="K153" s="2631">
        <f t="shared" si="36"/>
        <v>0</v>
      </c>
      <c r="L153" s="2631">
        <f t="shared" si="36"/>
        <v>0</v>
      </c>
      <c r="M153" s="2631">
        <f t="shared" si="36"/>
        <v>0</v>
      </c>
      <c r="N153" s="2663">
        <f t="shared" si="36"/>
        <v>320</v>
      </c>
      <c r="O153" s="2631">
        <f t="shared" si="36"/>
        <v>0</v>
      </c>
      <c r="P153" s="2631">
        <f t="shared" si="36"/>
        <v>0</v>
      </c>
      <c r="Q153" s="2631">
        <f t="shared" si="36"/>
        <v>0</v>
      </c>
      <c r="R153" s="2631">
        <f t="shared" si="36"/>
        <v>0</v>
      </c>
      <c r="S153" s="2631">
        <f t="shared" si="36"/>
        <v>0</v>
      </c>
      <c r="T153" s="2631">
        <f t="shared" si="36"/>
        <v>0</v>
      </c>
      <c r="U153" s="2660">
        <f t="shared" si="36"/>
        <v>120</v>
      </c>
    </row>
    <row r="154" spans="1:21" ht="21" x14ac:dyDescent="0.35">
      <c r="A154" s="1179"/>
      <c r="B154" s="1182" t="s">
        <v>454</v>
      </c>
      <c r="C154" s="1183"/>
      <c r="D154" s="2750" t="s">
        <v>495</v>
      </c>
      <c r="E154" s="2750" t="s">
        <v>496</v>
      </c>
      <c r="F154" s="2757" t="s">
        <v>229</v>
      </c>
      <c r="G154" s="2758">
        <v>240</v>
      </c>
      <c r="H154" s="2660">
        <v>120</v>
      </c>
      <c r="I154" s="2661"/>
      <c r="J154" s="2662"/>
      <c r="K154" s="2631"/>
      <c r="L154" s="2631"/>
      <c r="M154" s="2631"/>
      <c r="N154" s="2663">
        <v>320</v>
      </c>
      <c r="O154" s="2631"/>
      <c r="P154" s="2631"/>
      <c r="Q154" s="2631"/>
      <c r="R154" s="2631"/>
      <c r="S154" s="2631"/>
      <c r="T154" s="2631"/>
      <c r="U154" s="2660">
        <v>120</v>
      </c>
    </row>
    <row r="155" spans="1:21" ht="21" hidden="1" x14ac:dyDescent="0.35">
      <c r="A155" s="1179"/>
      <c r="B155" s="1183" t="s">
        <v>562</v>
      </c>
      <c r="C155" s="1183"/>
      <c r="D155" s="2750" t="s">
        <v>495</v>
      </c>
      <c r="E155" s="2750" t="s">
        <v>496</v>
      </c>
      <c r="F155" s="2757" t="s">
        <v>229</v>
      </c>
      <c r="G155" s="2758" t="s">
        <v>561</v>
      </c>
      <c r="H155" s="2660"/>
      <c r="I155" s="2661"/>
      <c r="J155" s="2662"/>
      <c r="K155" s="2631"/>
      <c r="L155" s="2631"/>
      <c r="M155" s="2631"/>
      <c r="N155" s="2663"/>
      <c r="O155" s="2631"/>
      <c r="P155" s="2631"/>
      <c r="Q155" s="2631"/>
      <c r="R155" s="2631"/>
      <c r="S155" s="2631"/>
      <c r="T155" s="2631"/>
      <c r="U155" s="2660"/>
    </row>
    <row r="156" spans="1:21" x14ac:dyDescent="0.35">
      <c r="A156" s="1179"/>
      <c r="B156" s="1219" t="s">
        <v>560</v>
      </c>
      <c r="C156" s="1215"/>
      <c r="D156" s="2757" t="s">
        <v>495</v>
      </c>
      <c r="E156" s="2757" t="s">
        <v>496</v>
      </c>
      <c r="F156" s="2757" t="s">
        <v>227</v>
      </c>
      <c r="G156" s="2758"/>
      <c r="H156" s="2660">
        <f>H157</f>
        <v>487.2</v>
      </c>
      <c r="I156" s="2661">
        <f>I157</f>
        <v>0</v>
      </c>
      <c r="J156" s="2662">
        <f>J157</f>
        <v>0</v>
      </c>
      <c r="K156" s="2631"/>
      <c r="L156" s="2631"/>
      <c r="M156" s="2631"/>
      <c r="N156" s="2663">
        <f>N157</f>
        <v>242</v>
      </c>
      <c r="O156" s="2631"/>
      <c r="P156" s="2631"/>
      <c r="Q156" s="2631"/>
      <c r="R156" s="2631"/>
      <c r="S156" s="2631"/>
      <c r="T156" s="2631"/>
      <c r="U156" s="2660">
        <f>U157</f>
        <v>251</v>
      </c>
    </row>
    <row r="157" spans="1:21" ht="21" x14ac:dyDescent="0.35">
      <c r="A157" s="1179"/>
      <c r="B157" s="1219" t="s">
        <v>559</v>
      </c>
      <c r="C157" s="1215"/>
      <c r="D157" s="2757" t="s">
        <v>495</v>
      </c>
      <c r="E157" s="2757" t="s">
        <v>496</v>
      </c>
      <c r="F157" s="2757" t="s">
        <v>225</v>
      </c>
      <c r="G157" s="2758"/>
      <c r="H157" s="2660">
        <f>H158</f>
        <v>487.2</v>
      </c>
      <c r="I157" s="2661">
        <f>I158+I166</f>
        <v>0</v>
      </c>
      <c r="J157" s="2662">
        <f>J158+J166</f>
        <v>0</v>
      </c>
      <c r="K157" s="2631"/>
      <c r="L157" s="2631"/>
      <c r="M157" s="2631"/>
      <c r="N157" s="2663">
        <f>N158</f>
        <v>242</v>
      </c>
      <c r="O157" s="2631"/>
      <c r="P157" s="2631"/>
      <c r="Q157" s="2631"/>
      <c r="R157" s="2631"/>
      <c r="S157" s="2631"/>
      <c r="T157" s="2631"/>
      <c r="U157" s="2660">
        <f>U158</f>
        <v>251</v>
      </c>
    </row>
    <row r="158" spans="1:21" x14ac:dyDescent="0.35">
      <c r="A158" s="1179"/>
      <c r="B158" s="1863" t="s">
        <v>224</v>
      </c>
      <c r="C158" s="1188"/>
      <c r="D158" s="2757" t="s">
        <v>495</v>
      </c>
      <c r="E158" s="2757" t="s">
        <v>496</v>
      </c>
      <c r="F158" s="2757" t="s">
        <v>220</v>
      </c>
      <c r="G158" s="2758"/>
      <c r="H158" s="2660">
        <f>H160</f>
        <v>487.2</v>
      </c>
      <c r="I158" s="2661">
        <f>I160</f>
        <v>0</v>
      </c>
      <c r="J158" s="2662">
        <f>J160</f>
        <v>0</v>
      </c>
      <c r="K158" s="2631"/>
      <c r="L158" s="2631"/>
      <c r="M158" s="2631"/>
      <c r="N158" s="2663">
        <f>N160</f>
        <v>242</v>
      </c>
      <c r="O158" s="2631"/>
      <c r="P158" s="2631"/>
      <c r="Q158" s="2631"/>
      <c r="R158" s="2631"/>
      <c r="S158" s="2631"/>
      <c r="T158" s="2631"/>
      <c r="U158" s="2660">
        <f>U160</f>
        <v>251</v>
      </c>
    </row>
    <row r="159" spans="1:21" ht="21" x14ac:dyDescent="0.35">
      <c r="A159" s="1179"/>
      <c r="B159" s="753" t="s">
        <v>948</v>
      </c>
      <c r="C159" s="1188"/>
      <c r="D159" s="2757" t="s">
        <v>495</v>
      </c>
      <c r="E159" s="2757" t="s">
        <v>496</v>
      </c>
      <c r="F159" s="2757" t="s">
        <v>220</v>
      </c>
      <c r="G159" s="2758" t="s">
        <v>955</v>
      </c>
      <c r="H159" s="2660">
        <f t="shared" ref="H159:U159" si="37">H160</f>
        <v>487.2</v>
      </c>
      <c r="I159" s="2661">
        <f t="shared" si="37"/>
        <v>0</v>
      </c>
      <c r="J159" s="2662">
        <f t="shared" si="37"/>
        <v>0</v>
      </c>
      <c r="K159" s="2631">
        <f t="shared" si="37"/>
        <v>0</v>
      </c>
      <c r="L159" s="2631">
        <f t="shared" si="37"/>
        <v>0</v>
      </c>
      <c r="M159" s="2631">
        <f t="shared" si="37"/>
        <v>0</v>
      </c>
      <c r="N159" s="2663">
        <f t="shared" si="37"/>
        <v>242</v>
      </c>
      <c r="O159" s="2631">
        <f t="shared" si="37"/>
        <v>0</v>
      </c>
      <c r="P159" s="2631">
        <f t="shared" si="37"/>
        <v>0</v>
      </c>
      <c r="Q159" s="2631">
        <f t="shared" si="37"/>
        <v>0</v>
      </c>
      <c r="R159" s="2631">
        <f t="shared" si="37"/>
        <v>0</v>
      </c>
      <c r="S159" s="2631">
        <f t="shared" si="37"/>
        <v>0</v>
      </c>
      <c r="T159" s="2631">
        <f t="shared" si="37"/>
        <v>0</v>
      </c>
      <c r="U159" s="2660">
        <f t="shared" si="37"/>
        <v>251</v>
      </c>
    </row>
    <row r="160" spans="1:21" ht="21" x14ac:dyDescent="0.35">
      <c r="A160" s="1179"/>
      <c r="B160" s="1182" t="s">
        <v>454</v>
      </c>
      <c r="C160" s="1183"/>
      <c r="D160" s="2757" t="s">
        <v>495</v>
      </c>
      <c r="E160" s="2757" t="s">
        <v>496</v>
      </c>
      <c r="F160" s="2757" t="s">
        <v>220</v>
      </c>
      <c r="G160" s="2751" t="s">
        <v>1</v>
      </c>
      <c r="H160" s="2660">
        <v>487.2</v>
      </c>
      <c r="I160" s="2661"/>
      <c r="J160" s="2662"/>
      <c r="K160" s="2631"/>
      <c r="L160" s="2631"/>
      <c r="M160" s="2631"/>
      <c r="N160" s="2663">
        <v>242</v>
      </c>
      <c r="O160" s="2631"/>
      <c r="P160" s="2631"/>
      <c r="Q160" s="2631"/>
      <c r="R160" s="2631"/>
      <c r="S160" s="2631"/>
      <c r="T160" s="2631"/>
      <c r="U160" s="2660">
        <v>251</v>
      </c>
    </row>
    <row r="161" spans="1:25" ht="31.5" hidden="1" x14ac:dyDescent="0.35">
      <c r="A161" s="1179"/>
      <c r="B161" s="753" t="s">
        <v>499</v>
      </c>
      <c r="C161" s="1183"/>
      <c r="D161" s="2757" t="s">
        <v>495</v>
      </c>
      <c r="E161" s="2757" t="s">
        <v>539</v>
      </c>
      <c r="F161" s="2750" t="s">
        <v>89</v>
      </c>
      <c r="G161" s="2751"/>
      <c r="H161" s="2660">
        <f>H162</f>
        <v>0</v>
      </c>
      <c r="I161" s="2661"/>
      <c r="J161" s="2662"/>
      <c r="K161" s="2631"/>
      <c r="L161" s="2631"/>
      <c r="M161" s="2631"/>
      <c r="N161" s="2663"/>
      <c r="O161" s="2631"/>
      <c r="P161" s="2631"/>
      <c r="Q161" s="2631"/>
      <c r="R161" s="2631"/>
      <c r="S161" s="2631"/>
      <c r="T161" s="2631"/>
      <c r="U161" s="2660"/>
    </row>
    <row r="162" spans="1:25" hidden="1" x14ac:dyDescent="0.35">
      <c r="A162" s="1179"/>
      <c r="B162" s="753" t="s">
        <v>109</v>
      </c>
      <c r="C162" s="1183"/>
      <c r="D162" s="2757" t="s">
        <v>495</v>
      </c>
      <c r="E162" s="2757" t="s">
        <v>539</v>
      </c>
      <c r="F162" s="2750" t="s">
        <v>84</v>
      </c>
      <c r="G162" s="2751"/>
      <c r="H162" s="2660">
        <f>H163</f>
        <v>0</v>
      </c>
      <c r="I162" s="2661"/>
      <c r="J162" s="2662"/>
      <c r="K162" s="2631"/>
      <c r="L162" s="2631"/>
      <c r="M162" s="2631"/>
      <c r="N162" s="2663"/>
      <c r="O162" s="2631"/>
      <c r="P162" s="2631"/>
      <c r="Q162" s="2631"/>
      <c r="R162" s="2631"/>
      <c r="S162" s="2631"/>
      <c r="T162" s="2631"/>
      <c r="U162" s="2660"/>
    </row>
    <row r="163" spans="1:25" hidden="1" x14ac:dyDescent="0.35">
      <c r="A163" s="1179"/>
      <c r="B163" s="753" t="s">
        <v>109</v>
      </c>
      <c r="C163" s="1183"/>
      <c r="D163" s="2757" t="s">
        <v>495</v>
      </c>
      <c r="E163" s="2757" t="s">
        <v>539</v>
      </c>
      <c r="F163" s="2750" t="s">
        <v>82</v>
      </c>
      <c r="G163" s="2751"/>
      <c r="H163" s="2660">
        <f>H164</f>
        <v>0</v>
      </c>
      <c r="I163" s="2661"/>
      <c r="J163" s="2662"/>
      <c r="K163" s="2631"/>
      <c r="L163" s="2631"/>
      <c r="M163" s="2631"/>
      <c r="N163" s="2663"/>
      <c r="O163" s="2631"/>
      <c r="P163" s="2631"/>
      <c r="Q163" s="2631"/>
      <c r="R163" s="2631"/>
      <c r="S163" s="2631"/>
      <c r="T163" s="2631"/>
      <c r="U163" s="2660"/>
    </row>
    <row r="164" spans="1:25" ht="25.5" hidden="1" customHeight="1" x14ac:dyDescent="0.35">
      <c r="A164" s="1179"/>
      <c r="B164" s="1182" t="s">
        <v>237</v>
      </c>
      <c r="C164" s="1183"/>
      <c r="D164" s="2757" t="s">
        <v>495</v>
      </c>
      <c r="E164" s="2757" t="s">
        <v>539</v>
      </c>
      <c r="F164" s="2757" t="s">
        <v>1006</v>
      </c>
      <c r="G164" s="2751"/>
      <c r="H164" s="2660">
        <f>H165</f>
        <v>0</v>
      </c>
      <c r="I164" s="2661"/>
      <c r="J164" s="2662"/>
      <c r="K164" s="2631"/>
      <c r="L164" s="2631"/>
      <c r="M164" s="2631"/>
      <c r="N164" s="2663"/>
      <c r="O164" s="2631"/>
      <c r="P164" s="2631"/>
      <c r="Q164" s="2631"/>
      <c r="R164" s="2631"/>
      <c r="S164" s="2631"/>
      <c r="T164" s="2631"/>
      <c r="U164" s="2660"/>
    </row>
    <row r="165" spans="1:25" hidden="1" x14ac:dyDescent="0.35">
      <c r="A165" s="1179"/>
      <c r="B165" s="1182" t="s">
        <v>457</v>
      </c>
      <c r="C165" s="1183"/>
      <c r="D165" s="2757" t="s">
        <v>495</v>
      </c>
      <c r="E165" s="2757" t="s">
        <v>539</v>
      </c>
      <c r="F165" s="2757" t="s">
        <v>1006</v>
      </c>
      <c r="G165" s="2751" t="s">
        <v>91</v>
      </c>
      <c r="H165" s="2660"/>
      <c r="I165" s="2661"/>
      <c r="J165" s="2662"/>
      <c r="K165" s="2631"/>
      <c r="L165" s="2631"/>
      <c r="M165" s="2631"/>
      <c r="N165" s="2663"/>
      <c r="O165" s="2631"/>
      <c r="P165" s="2631"/>
      <c r="Q165" s="2631"/>
      <c r="R165" s="2631"/>
      <c r="S165" s="2631"/>
      <c r="T165" s="2631"/>
      <c r="U165" s="2660"/>
    </row>
    <row r="166" spans="1:25" ht="27" customHeight="1" x14ac:dyDescent="0.35">
      <c r="A166" s="1179"/>
      <c r="B166" s="1214" t="s">
        <v>833</v>
      </c>
      <c r="C166" s="1188"/>
      <c r="D166" s="2757" t="s">
        <v>495</v>
      </c>
      <c r="E166" s="2757" t="s">
        <v>832</v>
      </c>
      <c r="F166" s="2750"/>
      <c r="G166" s="2758"/>
      <c r="H166" s="2660">
        <f>H168</f>
        <v>7.1</v>
      </c>
      <c r="I166" s="2661">
        <f>I168</f>
        <v>0</v>
      </c>
      <c r="J166" s="2662">
        <f>J168</f>
        <v>0</v>
      </c>
      <c r="K166" s="2631"/>
      <c r="L166" s="2631"/>
      <c r="M166" s="2631"/>
      <c r="N166" s="2663">
        <f>N168</f>
        <v>7.1</v>
      </c>
      <c r="O166" s="2631"/>
      <c r="P166" s="2631"/>
      <c r="Q166" s="2631"/>
      <c r="R166" s="2631"/>
      <c r="S166" s="2631"/>
      <c r="T166" s="2631"/>
      <c r="U166" s="2660">
        <f>U168</f>
        <v>7.1</v>
      </c>
      <c r="V166" s="1861">
        <v>7.1</v>
      </c>
      <c r="W166" s="1861">
        <v>7.1</v>
      </c>
      <c r="X166" s="1861">
        <v>7.1</v>
      </c>
      <c r="Y166" s="2266" t="s">
        <v>444</v>
      </c>
    </row>
    <row r="167" spans="1:25" ht="26.25" customHeight="1" x14ac:dyDescent="0.35">
      <c r="A167" s="1179"/>
      <c r="B167" s="753" t="s">
        <v>583</v>
      </c>
      <c r="C167" s="1188"/>
      <c r="D167" s="2757" t="s">
        <v>495</v>
      </c>
      <c r="E167" s="2757" t="s">
        <v>832</v>
      </c>
      <c r="F167" s="2750" t="s">
        <v>157</v>
      </c>
      <c r="G167" s="2758"/>
      <c r="H167" s="2660">
        <f>H168</f>
        <v>7.1</v>
      </c>
      <c r="I167" s="2661"/>
      <c r="J167" s="2662"/>
      <c r="K167" s="2631"/>
      <c r="L167" s="2631"/>
      <c r="M167" s="2631"/>
      <c r="N167" s="2663">
        <f>N168</f>
        <v>7.1</v>
      </c>
      <c r="O167" s="2631"/>
      <c r="P167" s="2631"/>
      <c r="Q167" s="2631"/>
      <c r="R167" s="2631"/>
      <c r="S167" s="2631"/>
      <c r="T167" s="2631"/>
      <c r="U167" s="2660">
        <f>U168</f>
        <v>7.1</v>
      </c>
    </row>
    <row r="168" spans="1:25" ht="27.75" customHeight="1" x14ac:dyDescent="0.35">
      <c r="A168" s="1179"/>
      <c r="B168" s="1197" t="s">
        <v>156</v>
      </c>
      <c r="C168" s="1183"/>
      <c r="D168" s="2757" t="s">
        <v>495</v>
      </c>
      <c r="E168" s="2757" t="s">
        <v>832</v>
      </c>
      <c r="F168" s="2750" t="s">
        <v>155</v>
      </c>
      <c r="G168" s="2751"/>
      <c r="H168" s="2660">
        <f>H169</f>
        <v>7.1</v>
      </c>
      <c r="I168" s="2661"/>
      <c r="J168" s="2662"/>
      <c r="K168" s="2631"/>
      <c r="L168" s="2631"/>
      <c r="M168" s="2631"/>
      <c r="N168" s="2663">
        <f>N169</f>
        <v>7.1</v>
      </c>
      <c r="O168" s="2631"/>
      <c r="P168" s="2631"/>
      <c r="Q168" s="2631"/>
      <c r="R168" s="2631"/>
      <c r="S168" s="2631"/>
      <c r="T168" s="2631"/>
      <c r="U168" s="2660">
        <f>U169</f>
        <v>7.1</v>
      </c>
    </row>
    <row r="169" spans="1:25" x14ac:dyDescent="0.35">
      <c r="A169" s="842"/>
      <c r="B169" s="1219" t="s">
        <v>109</v>
      </c>
      <c r="C169" s="1222"/>
      <c r="D169" s="2750" t="s">
        <v>495</v>
      </c>
      <c r="E169" s="2750" t="s">
        <v>832</v>
      </c>
      <c r="F169" s="2750" t="s">
        <v>154</v>
      </c>
      <c r="G169" s="2751"/>
      <c r="H169" s="2660">
        <f>H170</f>
        <v>7.1</v>
      </c>
      <c r="I169" s="2661">
        <f t="shared" ref="I169:J170" si="38">I170</f>
        <v>0</v>
      </c>
      <c r="J169" s="2662">
        <f t="shared" si="38"/>
        <v>0</v>
      </c>
      <c r="K169" s="2631"/>
      <c r="L169" s="2631"/>
      <c r="M169" s="2631"/>
      <c r="N169" s="2663">
        <f>N170</f>
        <v>7.1</v>
      </c>
      <c r="O169" s="2631"/>
      <c r="P169" s="2631"/>
      <c r="Q169" s="2631"/>
      <c r="R169" s="2631"/>
      <c r="S169" s="2631"/>
      <c r="T169" s="2631"/>
      <c r="U169" s="2660">
        <f>U170</f>
        <v>7.1</v>
      </c>
    </row>
    <row r="170" spans="1:25" ht="31.5" x14ac:dyDescent="0.35">
      <c r="A170" s="1179"/>
      <c r="B170" s="1219" t="s">
        <v>834</v>
      </c>
      <c r="C170" s="1223"/>
      <c r="D170" s="2750" t="s">
        <v>495</v>
      </c>
      <c r="E170" s="2750" t="s">
        <v>832</v>
      </c>
      <c r="F170" s="2750" t="s">
        <v>127</v>
      </c>
      <c r="G170" s="2751"/>
      <c r="H170" s="2660">
        <f>H171+H173</f>
        <v>7.1</v>
      </c>
      <c r="I170" s="2661">
        <f t="shared" si="38"/>
        <v>0</v>
      </c>
      <c r="J170" s="2662">
        <f t="shared" si="38"/>
        <v>0</v>
      </c>
      <c r="K170" s="2639">
        <f>K171+K173</f>
        <v>0</v>
      </c>
      <c r="L170" s="2631"/>
      <c r="M170" s="2631"/>
      <c r="N170" s="2663">
        <f>N171+N173</f>
        <v>7.1</v>
      </c>
      <c r="O170" s="2631"/>
      <c r="P170" s="2631"/>
      <c r="Q170" s="2631"/>
      <c r="R170" s="2631"/>
      <c r="S170" s="2631"/>
      <c r="T170" s="2631"/>
      <c r="U170" s="2660">
        <f>U171+U173</f>
        <v>7.1</v>
      </c>
    </row>
    <row r="171" spans="1:25" hidden="1" x14ac:dyDescent="0.35">
      <c r="A171" s="842"/>
      <c r="B171" s="753" t="s">
        <v>571</v>
      </c>
      <c r="C171" s="1224"/>
      <c r="D171" s="2757" t="s">
        <v>495</v>
      </c>
      <c r="E171" s="2757" t="s">
        <v>832</v>
      </c>
      <c r="F171" s="2750" t="s">
        <v>127</v>
      </c>
      <c r="G171" s="2751" t="s">
        <v>5</v>
      </c>
      <c r="H171" s="2660"/>
      <c r="I171" s="2661"/>
      <c r="J171" s="2662"/>
      <c r="K171" s="2631"/>
      <c r="L171" s="2631"/>
      <c r="M171" s="2631"/>
      <c r="N171" s="2663"/>
      <c r="O171" s="2631"/>
      <c r="P171" s="2631"/>
      <c r="Q171" s="2631"/>
      <c r="R171" s="2631"/>
      <c r="S171" s="2631"/>
      <c r="T171" s="2631"/>
      <c r="U171" s="2660"/>
    </row>
    <row r="172" spans="1:25" ht="21" x14ac:dyDescent="0.35">
      <c r="A172" s="842"/>
      <c r="B172" s="753" t="s">
        <v>948</v>
      </c>
      <c r="C172" s="1224"/>
      <c r="D172" s="2757" t="s">
        <v>495</v>
      </c>
      <c r="E172" s="2757" t="s">
        <v>832</v>
      </c>
      <c r="F172" s="2750" t="s">
        <v>127</v>
      </c>
      <c r="G172" s="2751" t="s">
        <v>955</v>
      </c>
      <c r="H172" s="2660">
        <f t="shared" ref="H172:U172" si="39">H173</f>
        <v>7.1</v>
      </c>
      <c r="I172" s="2661">
        <f t="shared" si="39"/>
        <v>0</v>
      </c>
      <c r="J172" s="2662">
        <f t="shared" si="39"/>
        <v>0</v>
      </c>
      <c r="K172" s="2631">
        <f t="shared" si="39"/>
        <v>0</v>
      </c>
      <c r="L172" s="2631">
        <f t="shared" si="39"/>
        <v>0</v>
      </c>
      <c r="M172" s="2631">
        <f t="shared" si="39"/>
        <v>0</v>
      </c>
      <c r="N172" s="2663">
        <f t="shared" si="39"/>
        <v>7.1</v>
      </c>
      <c r="O172" s="2631">
        <f t="shared" si="39"/>
        <v>0</v>
      </c>
      <c r="P172" s="2631">
        <f t="shared" si="39"/>
        <v>0</v>
      </c>
      <c r="Q172" s="2631">
        <f t="shared" si="39"/>
        <v>0</v>
      </c>
      <c r="R172" s="2631">
        <f t="shared" si="39"/>
        <v>0</v>
      </c>
      <c r="S172" s="2631">
        <f t="shared" si="39"/>
        <v>0</v>
      </c>
      <c r="T172" s="2631">
        <f t="shared" si="39"/>
        <v>0</v>
      </c>
      <c r="U172" s="2660">
        <f t="shared" si="39"/>
        <v>7.1</v>
      </c>
    </row>
    <row r="173" spans="1:25" ht="21" x14ac:dyDescent="0.35">
      <c r="A173" s="1179"/>
      <c r="B173" s="1182" t="s">
        <v>454</v>
      </c>
      <c r="C173" s="1183"/>
      <c r="D173" s="2757" t="s">
        <v>495</v>
      </c>
      <c r="E173" s="2757" t="s">
        <v>832</v>
      </c>
      <c r="F173" s="2750" t="s">
        <v>127</v>
      </c>
      <c r="G173" s="2751" t="s">
        <v>1</v>
      </c>
      <c r="H173" s="2660">
        <v>7.1</v>
      </c>
      <c r="I173" s="2661"/>
      <c r="J173" s="2662"/>
      <c r="K173" s="2631"/>
      <c r="L173" s="2631"/>
      <c r="M173" s="2631"/>
      <c r="N173" s="2663">
        <v>7.1</v>
      </c>
      <c r="O173" s="2631"/>
      <c r="P173" s="2631"/>
      <c r="Q173" s="2631"/>
      <c r="R173" s="2631"/>
      <c r="S173" s="2631"/>
      <c r="T173" s="2631"/>
      <c r="U173" s="2660">
        <v>7.1</v>
      </c>
      <c r="V173" s="1861">
        <v>7.1</v>
      </c>
      <c r="W173" s="1861">
        <v>7.1</v>
      </c>
      <c r="X173" s="1861">
        <v>7.1</v>
      </c>
    </row>
    <row r="174" spans="1:25" x14ac:dyDescent="0.35">
      <c r="A174" s="1179"/>
      <c r="B174" s="1225" t="s">
        <v>396</v>
      </c>
      <c r="C174" s="1226"/>
      <c r="D174" s="2759" t="s">
        <v>452</v>
      </c>
      <c r="E174" s="2759" t="s">
        <v>459</v>
      </c>
      <c r="F174" s="2759"/>
      <c r="G174" s="2760"/>
      <c r="H174" s="2664">
        <f>H187+H227+H175</f>
        <v>34384.20695</v>
      </c>
      <c r="I174" s="2665">
        <f>I187+I227</f>
        <v>0</v>
      </c>
      <c r="J174" s="2666">
        <f>J187+J227</f>
        <v>0</v>
      </c>
      <c r="K174" s="2631"/>
      <c r="L174" s="2631"/>
      <c r="M174" s="2631"/>
      <c r="N174" s="2667">
        <f>N187+N227+N175</f>
        <v>2034.29</v>
      </c>
      <c r="O174" s="2631"/>
      <c r="P174" s="2631"/>
      <c r="Q174" s="2631"/>
      <c r="R174" s="2631"/>
      <c r="S174" s="2631"/>
      <c r="T174" s="2631"/>
      <c r="U174" s="2664">
        <f>U187+U227+U175</f>
        <v>2593.3869999999997</v>
      </c>
    </row>
    <row r="175" spans="1:25" hidden="1" x14ac:dyDescent="0.35">
      <c r="A175" s="1179"/>
      <c r="B175" s="1225" t="s">
        <v>1164</v>
      </c>
      <c r="C175" s="1226"/>
      <c r="D175" s="2750" t="s">
        <v>452</v>
      </c>
      <c r="E175" s="2750" t="s">
        <v>463</v>
      </c>
      <c r="F175" s="2759"/>
      <c r="G175" s="2760"/>
      <c r="H175" s="2664">
        <f>H181+H186</f>
        <v>0</v>
      </c>
      <c r="I175" s="2665"/>
      <c r="J175" s="2666"/>
      <c r="K175" s="2631"/>
      <c r="L175" s="2631"/>
      <c r="M175" s="2631"/>
      <c r="N175" s="2667">
        <f>N181+N186</f>
        <v>0</v>
      </c>
      <c r="O175" s="2631"/>
      <c r="P175" s="2631"/>
      <c r="Q175" s="2631"/>
      <c r="R175" s="2631"/>
      <c r="S175" s="2631"/>
      <c r="T175" s="2631"/>
      <c r="U175" s="2664">
        <f>U181+U186</f>
        <v>0</v>
      </c>
    </row>
    <row r="176" spans="1:25" ht="31.5" hidden="1" x14ac:dyDescent="0.35">
      <c r="A176" s="1179"/>
      <c r="B176" s="1205" t="s">
        <v>1207</v>
      </c>
      <c r="C176" s="1226"/>
      <c r="D176" s="2750" t="s">
        <v>452</v>
      </c>
      <c r="E176" s="2750" t="s">
        <v>463</v>
      </c>
      <c r="F176" s="2750" t="s">
        <v>1165</v>
      </c>
      <c r="G176" s="2760"/>
      <c r="H176" s="2664">
        <f>H181+H186</f>
        <v>0</v>
      </c>
      <c r="I176" s="2665"/>
      <c r="J176" s="2666"/>
      <c r="K176" s="2631"/>
      <c r="L176" s="2631"/>
      <c r="M176" s="2631"/>
      <c r="N176" s="2667">
        <f>N181+N186</f>
        <v>0</v>
      </c>
      <c r="O176" s="2631"/>
      <c r="P176" s="2631"/>
      <c r="Q176" s="2631"/>
      <c r="R176" s="2631"/>
      <c r="S176" s="2631"/>
      <c r="T176" s="2631"/>
      <c r="U176" s="2664">
        <f>U181+U186</f>
        <v>0</v>
      </c>
    </row>
    <row r="177" spans="1:21" ht="21" hidden="1" x14ac:dyDescent="0.35">
      <c r="A177" s="1179"/>
      <c r="B177" s="1247" t="s">
        <v>1169</v>
      </c>
      <c r="C177" s="1226"/>
      <c r="D177" s="2750" t="s">
        <v>452</v>
      </c>
      <c r="E177" s="2750" t="s">
        <v>463</v>
      </c>
      <c r="F177" s="2750" t="s">
        <v>1166</v>
      </c>
      <c r="G177" s="2760"/>
      <c r="H177" s="2664">
        <f>H178</f>
        <v>0</v>
      </c>
      <c r="I177" s="2665"/>
      <c r="J177" s="2666"/>
      <c r="K177" s="2631"/>
      <c r="L177" s="2631"/>
      <c r="M177" s="2631"/>
      <c r="N177" s="2667">
        <f>N178</f>
        <v>0</v>
      </c>
      <c r="O177" s="2631"/>
      <c r="P177" s="2631"/>
      <c r="Q177" s="2631"/>
      <c r="R177" s="2631"/>
      <c r="S177" s="2631"/>
      <c r="T177" s="2631"/>
      <c r="U177" s="2664">
        <f>U178</f>
        <v>0</v>
      </c>
    </row>
    <row r="178" spans="1:21" ht="21" hidden="1" x14ac:dyDescent="0.35">
      <c r="A178" s="1179"/>
      <c r="B178" s="1247" t="s">
        <v>1170</v>
      </c>
      <c r="C178" s="1226"/>
      <c r="D178" s="2750" t="s">
        <v>452</v>
      </c>
      <c r="E178" s="2750" t="s">
        <v>463</v>
      </c>
      <c r="F178" s="2750" t="s">
        <v>1167</v>
      </c>
      <c r="G178" s="2760"/>
      <c r="H178" s="2664">
        <f>H179</f>
        <v>0</v>
      </c>
      <c r="I178" s="2665"/>
      <c r="J178" s="2666"/>
      <c r="K178" s="2631"/>
      <c r="L178" s="2631"/>
      <c r="M178" s="2631"/>
      <c r="N178" s="2667">
        <f>N179</f>
        <v>0</v>
      </c>
      <c r="O178" s="2631"/>
      <c r="P178" s="2631"/>
      <c r="Q178" s="2631"/>
      <c r="R178" s="2631"/>
      <c r="S178" s="2631"/>
      <c r="T178" s="2631"/>
      <c r="U178" s="2664">
        <f>U179</f>
        <v>0</v>
      </c>
    </row>
    <row r="179" spans="1:21" hidden="1" x14ac:dyDescent="0.35">
      <c r="A179" s="1179"/>
      <c r="B179" s="1247" t="s">
        <v>1171</v>
      </c>
      <c r="C179" s="1226"/>
      <c r="D179" s="2750" t="s">
        <v>452</v>
      </c>
      <c r="E179" s="2750" t="s">
        <v>463</v>
      </c>
      <c r="F179" s="2750" t="s">
        <v>1168</v>
      </c>
      <c r="G179" s="2760"/>
      <c r="H179" s="2664">
        <f>H180</f>
        <v>0</v>
      </c>
      <c r="I179" s="2665"/>
      <c r="J179" s="2666"/>
      <c r="K179" s="2631"/>
      <c r="L179" s="2631"/>
      <c r="M179" s="2631"/>
      <c r="N179" s="2667">
        <f>N180</f>
        <v>0</v>
      </c>
      <c r="O179" s="2631"/>
      <c r="P179" s="2631"/>
      <c r="Q179" s="2631"/>
      <c r="R179" s="2631"/>
      <c r="S179" s="2631"/>
      <c r="T179" s="2631"/>
      <c r="U179" s="2664">
        <f>U180</f>
        <v>0</v>
      </c>
    </row>
    <row r="180" spans="1:21" ht="21" hidden="1" x14ac:dyDescent="0.35">
      <c r="A180" s="1179"/>
      <c r="B180" s="753" t="s">
        <v>948</v>
      </c>
      <c r="C180" s="1226"/>
      <c r="D180" s="2750" t="s">
        <v>452</v>
      </c>
      <c r="E180" s="2750" t="s">
        <v>463</v>
      </c>
      <c r="F180" s="2750" t="s">
        <v>1168</v>
      </c>
      <c r="G180" s="2751" t="s">
        <v>955</v>
      </c>
      <c r="H180" s="2664">
        <f>H181</f>
        <v>0</v>
      </c>
      <c r="I180" s="2665"/>
      <c r="J180" s="2666"/>
      <c r="K180" s="2631"/>
      <c r="L180" s="2631"/>
      <c r="M180" s="2631"/>
      <c r="N180" s="2667">
        <f>N181</f>
        <v>0</v>
      </c>
      <c r="O180" s="2631"/>
      <c r="P180" s="2631"/>
      <c r="Q180" s="2631"/>
      <c r="R180" s="2631"/>
      <c r="S180" s="2631"/>
      <c r="T180" s="2631"/>
      <c r="U180" s="2664">
        <f>U181</f>
        <v>0</v>
      </c>
    </row>
    <row r="181" spans="1:21" ht="21" hidden="1" x14ac:dyDescent="0.35">
      <c r="A181" s="1179"/>
      <c r="B181" s="1182" t="s">
        <v>454</v>
      </c>
      <c r="C181" s="1226"/>
      <c r="D181" s="2750" t="s">
        <v>452</v>
      </c>
      <c r="E181" s="2750" t="s">
        <v>463</v>
      </c>
      <c r="F181" s="2750" t="s">
        <v>1168</v>
      </c>
      <c r="G181" s="2751" t="s">
        <v>1</v>
      </c>
      <c r="H181" s="2664">
        <v>0</v>
      </c>
      <c r="I181" s="2665"/>
      <c r="J181" s="2666"/>
      <c r="K181" s="2631"/>
      <c r="L181" s="2631"/>
      <c r="M181" s="2631"/>
      <c r="N181" s="2667">
        <v>0</v>
      </c>
      <c r="O181" s="2631"/>
      <c r="P181" s="2631"/>
      <c r="Q181" s="2631"/>
      <c r="R181" s="2631"/>
      <c r="S181" s="2631"/>
      <c r="T181" s="2631"/>
      <c r="U181" s="2664">
        <v>0</v>
      </c>
    </row>
    <row r="182" spans="1:21" ht="21" hidden="1" customHeight="1" x14ac:dyDescent="0.35">
      <c r="A182" s="1179"/>
      <c r="B182" s="1242" t="s">
        <v>1188</v>
      </c>
      <c r="C182" s="1226"/>
      <c r="D182" s="2750" t="s">
        <v>452</v>
      </c>
      <c r="E182" s="2750" t="s">
        <v>463</v>
      </c>
      <c r="F182" s="2750" t="s">
        <v>1173</v>
      </c>
      <c r="G182" s="2751"/>
      <c r="H182" s="2664">
        <f>H183</f>
        <v>0</v>
      </c>
      <c r="I182" s="2665"/>
      <c r="J182" s="2666"/>
      <c r="K182" s="2631"/>
      <c r="L182" s="2631"/>
      <c r="M182" s="2631"/>
      <c r="N182" s="2667">
        <f>N183</f>
        <v>0</v>
      </c>
      <c r="O182" s="2631"/>
      <c r="P182" s="2631"/>
      <c r="Q182" s="2631"/>
      <c r="R182" s="2631"/>
      <c r="S182" s="2631"/>
      <c r="T182" s="2631"/>
      <c r="U182" s="2664">
        <f>U183</f>
        <v>0</v>
      </c>
    </row>
    <row r="183" spans="1:21" ht="21" hidden="1" customHeight="1" x14ac:dyDescent="0.35">
      <c r="A183" s="1179"/>
      <c r="B183" s="1242" t="s">
        <v>1189</v>
      </c>
      <c r="C183" s="1226"/>
      <c r="D183" s="2750" t="s">
        <v>452</v>
      </c>
      <c r="E183" s="2750" t="s">
        <v>463</v>
      </c>
      <c r="F183" s="2750" t="s">
        <v>1174</v>
      </c>
      <c r="G183" s="2751"/>
      <c r="H183" s="2664">
        <f>H184</f>
        <v>0</v>
      </c>
      <c r="I183" s="2665"/>
      <c r="J183" s="2666"/>
      <c r="K183" s="2631"/>
      <c r="L183" s="2631"/>
      <c r="M183" s="2631"/>
      <c r="N183" s="2667">
        <f>N184</f>
        <v>0</v>
      </c>
      <c r="O183" s="2631"/>
      <c r="P183" s="2631"/>
      <c r="Q183" s="2631"/>
      <c r="R183" s="2631"/>
      <c r="S183" s="2631"/>
      <c r="T183" s="2631"/>
      <c r="U183" s="2664">
        <f>U184</f>
        <v>0</v>
      </c>
    </row>
    <row r="184" spans="1:21" ht="21" hidden="1" customHeight="1" x14ac:dyDescent="0.35">
      <c r="A184" s="1179"/>
      <c r="B184" s="1242" t="s">
        <v>1176</v>
      </c>
      <c r="C184" s="1226"/>
      <c r="D184" s="2750" t="s">
        <v>452</v>
      </c>
      <c r="E184" s="2750" t="s">
        <v>463</v>
      </c>
      <c r="F184" s="2761" t="s">
        <v>1175</v>
      </c>
      <c r="G184" s="2751"/>
      <c r="H184" s="2664">
        <f>H185</f>
        <v>0</v>
      </c>
      <c r="I184" s="2665"/>
      <c r="J184" s="2666"/>
      <c r="K184" s="2631"/>
      <c r="L184" s="2631"/>
      <c r="M184" s="2631"/>
      <c r="N184" s="2667">
        <f>N185</f>
        <v>0</v>
      </c>
      <c r="O184" s="2631"/>
      <c r="P184" s="2631"/>
      <c r="Q184" s="2631"/>
      <c r="R184" s="2631"/>
      <c r="S184" s="2631"/>
      <c r="T184" s="2631"/>
      <c r="U184" s="2664">
        <f>U185</f>
        <v>0</v>
      </c>
    </row>
    <row r="185" spans="1:21" ht="12.65" hidden="1" customHeight="1" x14ac:dyDescent="0.35">
      <c r="A185" s="1179"/>
      <c r="B185" s="1242" t="s">
        <v>1061</v>
      </c>
      <c r="C185" s="1226"/>
      <c r="D185" s="2750" t="s">
        <v>452</v>
      </c>
      <c r="E185" s="2750" t="s">
        <v>463</v>
      </c>
      <c r="F185" s="2761" t="s">
        <v>1175</v>
      </c>
      <c r="G185" s="2751" t="s">
        <v>1060</v>
      </c>
      <c r="H185" s="2664">
        <f>H186</f>
        <v>0</v>
      </c>
      <c r="I185" s="2665"/>
      <c r="J185" s="2666"/>
      <c r="K185" s="2631"/>
      <c r="L185" s="2631"/>
      <c r="M185" s="2631"/>
      <c r="N185" s="2667">
        <f>N186</f>
        <v>0</v>
      </c>
      <c r="O185" s="2631"/>
      <c r="P185" s="2631"/>
      <c r="Q185" s="2631"/>
      <c r="R185" s="2631"/>
      <c r="S185" s="2631"/>
      <c r="T185" s="2631"/>
      <c r="U185" s="2664">
        <f>U186</f>
        <v>0</v>
      </c>
    </row>
    <row r="186" spans="1:21" ht="12.65" hidden="1" customHeight="1" x14ac:dyDescent="0.35">
      <c r="A186" s="1179"/>
      <c r="B186" s="1182" t="s">
        <v>481</v>
      </c>
      <c r="C186" s="1226"/>
      <c r="D186" s="2750" t="s">
        <v>452</v>
      </c>
      <c r="E186" s="2750" t="s">
        <v>463</v>
      </c>
      <c r="F186" s="2761" t="s">
        <v>1175</v>
      </c>
      <c r="G186" s="2751" t="s">
        <v>26</v>
      </c>
      <c r="H186" s="2664">
        <v>0</v>
      </c>
      <c r="I186" s="2665"/>
      <c r="J186" s="2666"/>
      <c r="K186" s="2631"/>
      <c r="L186" s="2631"/>
      <c r="M186" s="2631"/>
      <c r="N186" s="2667">
        <v>0</v>
      </c>
      <c r="O186" s="2631"/>
      <c r="P186" s="2631"/>
      <c r="Q186" s="2631"/>
      <c r="R186" s="2631"/>
      <c r="S186" s="2631"/>
      <c r="T186" s="2631"/>
      <c r="U186" s="2664">
        <v>0</v>
      </c>
    </row>
    <row r="187" spans="1:21" x14ac:dyDescent="0.35">
      <c r="A187" s="1229"/>
      <c r="B187" s="1225" t="s">
        <v>60</v>
      </c>
      <c r="C187" s="1227"/>
      <c r="D187" s="2759" t="s">
        <v>452</v>
      </c>
      <c r="E187" s="2759" t="s">
        <v>539</v>
      </c>
      <c r="F187" s="2759"/>
      <c r="G187" s="2760"/>
      <c r="H187" s="2664">
        <f>H193+H196+H206+H209+H226+H202+H199</f>
        <v>30392.536039999999</v>
      </c>
      <c r="I187" s="2665">
        <f>I188</f>
        <v>0</v>
      </c>
      <c r="J187" s="2666">
        <f>J188</f>
        <v>0</v>
      </c>
      <c r="K187" s="2631"/>
      <c r="L187" s="2631"/>
      <c r="M187" s="2631"/>
      <c r="N187" s="2667">
        <f>N193+N196+N206+N209+N226+N202</f>
        <v>1158.3</v>
      </c>
      <c r="O187" s="2631"/>
      <c r="P187" s="2631"/>
      <c r="Q187" s="2631"/>
      <c r="R187" s="2631"/>
      <c r="S187" s="2631"/>
      <c r="T187" s="2631"/>
      <c r="U187" s="2664">
        <f>U193+U196+U206+U209+U226+U202</f>
        <v>1158.3</v>
      </c>
    </row>
    <row r="188" spans="1:21" ht="30" customHeight="1" x14ac:dyDescent="0.35">
      <c r="A188" s="1179"/>
      <c r="B188" s="1205" t="s">
        <v>1138</v>
      </c>
      <c r="C188" s="409"/>
      <c r="D188" s="2750" t="s">
        <v>452</v>
      </c>
      <c r="E188" s="2750" t="s">
        <v>539</v>
      </c>
      <c r="F188" s="2750" t="s">
        <v>218</v>
      </c>
      <c r="G188" s="2751"/>
      <c r="H188" s="2660">
        <f>H189+H203</f>
        <v>30392.536039999999</v>
      </c>
      <c r="I188" s="2661">
        <f>I189+I203</f>
        <v>0</v>
      </c>
      <c r="J188" s="2668">
        <f>J189+J203</f>
        <v>0</v>
      </c>
      <c r="K188" s="2631"/>
      <c r="L188" s="2631"/>
      <c r="M188" s="2631"/>
      <c r="N188" s="2663">
        <f>N189+N203</f>
        <v>1158.3</v>
      </c>
      <c r="O188" s="2631"/>
      <c r="P188" s="2631"/>
      <c r="Q188" s="2631"/>
      <c r="R188" s="2631"/>
      <c r="S188" s="2631"/>
      <c r="T188" s="2631"/>
      <c r="U188" s="2660">
        <f>U189+U203</f>
        <v>1158.3</v>
      </c>
    </row>
    <row r="189" spans="1:21" ht="21" x14ac:dyDescent="0.35">
      <c r="A189" s="1179"/>
      <c r="B189" s="1205" t="s">
        <v>217</v>
      </c>
      <c r="C189" s="1217"/>
      <c r="D189" s="2757" t="s">
        <v>452</v>
      </c>
      <c r="E189" s="2757" t="s">
        <v>539</v>
      </c>
      <c r="F189" s="2750" t="s">
        <v>216</v>
      </c>
      <c r="G189" s="2758"/>
      <c r="H189" s="2660">
        <f>H190</f>
        <v>29642.536039999999</v>
      </c>
      <c r="I189" s="2661">
        <f>I190</f>
        <v>0</v>
      </c>
      <c r="J189" s="2668">
        <f>J190</f>
        <v>0</v>
      </c>
      <c r="K189" s="2639">
        <f>K193+K196+K206+K209+K226</f>
        <v>388.9</v>
      </c>
      <c r="L189" s="2631"/>
      <c r="M189" s="2631"/>
      <c r="N189" s="2663">
        <f>N190</f>
        <v>948.3</v>
      </c>
      <c r="O189" s="2631"/>
      <c r="P189" s="2631"/>
      <c r="Q189" s="2631"/>
      <c r="R189" s="2631"/>
      <c r="S189" s="2631"/>
      <c r="T189" s="2631"/>
      <c r="U189" s="2660">
        <f>U190</f>
        <v>948.3</v>
      </c>
    </row>
    <row r="190" spans="1:21" ht="63" x14ac:dyDescent="0.35">
      <c r="A190" s="1179"/>
      <c r="B190" s="1197" t="s">
        <v>986</v>
      </c>
      <c r="C190" s="1217"/>
      <c r="D190" s="2757" t="s">
        <v>452</v>
      </c>
      <c r="E190" s="2757" t="s">
        <v>539</v>
      </c>
      <c r="F190" s="2757" t="s">
        <v>214</v>
      </c>
      <c r="G190" s="2758"/>
      <c r="H190" s="2660">
        <f>H191+H194+H202+H199</f>
        <v>29642.536039999999</v>
      </c>
      <c r="I190" s="2661">
        <f>I191+I194+I202</f>
        <v>0</v>
      </c>
      <c r="J190" s="2668">
        <f>J191+J194+J202</f>
        <v>0</v>
      </c>
      <c r="K190" s="2631"/>
      <c r="L190" s="2631"/>
      <c r="M190" s="2631"/>
      <c r="N190" s="2663">
        <f>N191+N194+N202</f>
        <v>948.3</v>
      </c>
      <c r="O190" s="2631"/>
      <c r="P190" s="2631"/>
      <c r="Q190" s="2631"/>
      <c r="R190" s="2631"/>
      <c r="S190" s="2631"/>
      <c r="T190" s="2631"/>
      <c r="U190" s="2660">
        <f>U191+U194+U202</f>
        <v>948.3</v>
      </c>
    </row>
    <row r="191" spans="1:21" hidden="1" x14ac:dyDescent="0.35">
      <c r="A191" s="1179"/>
      <c r="B191" s="1197" t="s">
        <v>619</v>
      </c>
      <c r="C191" s="1217"/>
      <c r="D191" s="2757" t="s">
        <v>452</v>
      </c>
      <c r="E191" s="2757" t="s">
        <v>539</v>
      </c>
      <c r="F191" s="2757" t="s">
        <v>213</v>
      </c>
      <c r="G191" s="2751"/>
      <c r="H191" s="2660">
        <f>H193</f>
        <v>0</v>
      </c>
      <c r="I191" s="2661">
        <f>I193</f>
        <v>0</v>
      </c>
      <c r="J191" s="2668">
        <f>J193</f>
        <v>0</v>
      </c>
      <c r="K191" s="2631"/>
      <c r="L191" s="2631"/>
      <c r="M191" s="2631"/>
      <c r="N191" s="2663">
        <f>N193</f>
        <v>0</v>
      </c>
      <c r="O191" s="2631"/>
      <c r="P191" s="2631"/>
      <c r="Q191" s="2631"/>
      <c r="R191" s="2631"/>
      <c r="S191" s="2631"/>
      <c r="T191" s="2631"/>
      <c r="U191" s="2660">
        <f>U193</f>
        <v>0</v>
      </c>
    </row>
    <row r="192" spans="1:21" ht="21" hidden="1" x14ac:dyDescent="0.35">
      <c r="A192" s="1179"/>
      <c r="B192" s="753" t="s">
        <v>948</v>
      </c>
      <c r="C192" s="1217"/>
      <c r="D192" s="2757" t="s">
        <v>452</v>
      </c>
      <c r="E192" s="2757" t="s">
        <v>539</v>
      </c>
      <c r="F192" s="2757" t="s">
        <v>213</v>
      </c>
      <c r="G192" s="2751" t="s">
        <v>955</v>
      </c>
      <c r="H192" s="2660">
        <f t="shared" ref="H192:U192" si="40">H193</f>
        <v>0</v>
      </c>
      <c r="I192" s="2661">
        <f t="shared" si="40"/>
        <v>0</v>
      </c>
      <c r="J192" s="2669">
        <f t="shared" si="40"/>
        <v>0</v>
      </c>
      <c r="K192" s="2631">
        <f t="shared" si="40"/>
        <v>0</v>
      </c>
      <c r="L192" s="2631">
        <f t="shared" si="40"/>
        <v>0</v>
      </c>
      <c r="M192" s="2631">
        <f t="shared" si="40"/>
        <v>0</v>
      </c>
      <c r="N192" s="2663">
        <f t="shared" si="40"/>
        <v>0</v>
      </c>
      <c r="O192" s="2631">
        <f t="shared" si="40"/>
        <v>0</v>
      </c>
      <c r="P192" s="2631">
        <f t="shared" si="40"/>
        <v>0</v>
      </c>
      <c r="Q192" s="2631">
        <f t="shared" si="40"/>
        <v>0</v>
      </c>
      <c r="R192" s="2631">
        <f t="shared" si="40"/>
        <v>0</v>
      </c>
      <c r="S192" s="2631">
        <f t="shared" si="40"/>
        <v>0</v>
      </c>
      <c r="T192" s="2631">
        <f t="shared" si="40"/>
        <v>0</v>
      </c>
      <c r="U192" s="2660">
        <f t="shared" si="40"/>
        <v>0</v>
      </c>
    </row>
    <row r="193" spans="1:28" ht="21" hidden="1" x14ac:dyDescent="0.35">
      <c r="A193" s="1179"/>
      <c r="B193" s="1182" t="s">
        <v>454</v>
      </c>
      <c r="C193" s="1217"/>
      <c r="D193" s="2757" t="s">
        <v>452</v>
      </c>
      <c r="E193" s="2757" t="s">
        <v>539</v>
      </c>
      <c r="F193" s="2757" t="s">
        <v>213</v>
      </c>
      <c r="G193" s="2751" t="s">
        <v>1</v>
      </c>
      <c r="H193" s="2660">
        <v>0</v>
      </c>
      <c r="I193" s="2661"/>
      <c r="J193" s="2662"/>
      <c r="K193" s="2631"/>
      <c r="L193" s="2631"/>
      <c r="M193" s="2631"/>
      <c r="N193" s="2663">
        <v>0</v>
      </c>
      <c r="O193" s="2631"/>
      <c r="P193" s="2631"/>
      <c r="Q193" s="2631"/>
      <c r="R193" s="2631"/>
      <c r="S193" s="2631"/>
      <c r="T193" s="2631"/>
      <c r="U193" s="2660">
        <v>0</v>
      </c>
      <c r="V193" s="237">
        <f>H187-V196-V206-V209</f>
        <v>27507.52204</v>
      </c>
      <c r="W193" s="237"/>
      <c r="X193" s="237"/>
    </row>
    <row r="194" spans="1:28" ht="21" x14ac:dyDescent="0.35">
      <c r="A194" s="1179"/>
      <c r="B194" s="1197" t="s">
        <v>212</v>
      </c>
      <c r="C194" s="1217"/>
      <c r="D194" s="2757" t="s">
        <v>452</v>
      </c>
      <c r="E194" s="2757" t="s">
        <v>539</v>
      </c>
      <c r="F194" s="2757" t="s">
        <v>984</v>
      </c>
      <c r="G194" s="2751"/>
      <c r="H194" s="2660">
        <f>H196</f>
        <v>0</v>
      </c>
      <c r="I194" s="2661">
        <f>I196</f>
        <v>0</v>
      </c>
      <c r="J194" s="2662">
        <f>J196</f>
        <v>0</v>
      </c>
      <c r="K194" s="2631"/>
      <c r="L194" s="2631"/>
      <c r="M194" s="2631"/>
      <c r="N194" s="2663">
        <f>N196</f>
        <v>0</v>
      </c>
      <c r="O194" s="2631"/>
      <c r="P194" s="2631"/>
      <c r="Q194" s="2631"/>
      <c r="R194" s="2631"/>
      <c r="S194" s="2631"/>
      <c r="T194" s="2631"/>
      <c r="U194" s="2660">
        <f>U196</f>
        <v>0</v>
      </c>
    </row>
    <row r="195" spans="1:28" ht="21" x14ac:dyDescent="0.35">
      <c r="A195" s="1179"/>
      <c r="B195" s="753" t="s">
        <v>948</v>
      </c>
      <c r="C195" s="1217"/>
      <c r="D195" s="2757" t="s">
        <v>452</v>
      </c>
      <c r="E195" s="2757" t="s">
        <v>539</v>
      </c>
      <c r="F195" s="2757" t="s">
        <v>984</v>
      </c>
      <c r="G195" s="2751" t="s">
        <v>955</v>
      </c>
      <c r="H195" s="2660">
        <f t="shared" ref="H195:U195" si="41">H196</f>
        <v>0</v>
      </c>
      <c r="I195" s="2661">
        <f t="shared" si="41"/>
        <v>0</v>
      </c>
      <c r="J195" s="2662">
        <f t="shared" si="41"/>
        <v>0</v>
      </c>
      <c r="K195" s="2631">
        <f t="shared" si="41"/>
        <v>0</v>
      </c>
      <c r="L195" s="2631">
        <f t="shared" si="41"/>
        <v>0</v>
      </c>
      <c r="M195" s="2631">
        <f t="shared" si="41"/>
        <v>0</v>
      </c>
      <c r="N195" s="2663">
        <f t="shared" si="41"/>
        <v>0</v>
      </c>
      <c r="O195" s="2631">
        <f t="shared" si="41"/>
        <v>0</v>
      </c>
      <c r="P195" s="2631">
        <f t="shared" si="41"/>
        <v>0</v>
      </c>
      <c r="Q195" s="2631">
        <f t="shared" si="41"/>
        <v>0</v>
      </c>
      <c r="R195" s="2631">
        <f t="shared" si="41"/>
        <v>0</v>
      </c>
      <c r="S195" s="2631">
        <f t="shared" si="41"/>
        <v>0</v>
      </c>
      <c r="T195" s="2631">
        <f t="shared" si="41"/>
        <v>0</v>
      </c>
      <c r="U195" s="2660">
        <f t="shared" si="41"/>
        <v>0</v>
      </c>
    </row>
    <row r="196" spans="1:28" ht="21" x14ac:dyDescent="0.35">
      <c r="A196" s="1179"/>
      <c r="B196" s="1182" t="s">
        <v>454</v>
      </c>
      <c r="C196" s="1217"/>
      <c r="D196" s="2757" t="s">
        <v>452</v>
      </c>
      <c r="E196" s="2757" t="s">
        <v>539</v>
      </c>
      <c r="F196" s="2757" t="s">
        <v>984</v>
      </c>
      <c r="G196" s="2751" t="s">
        <v>1</v>
      </c>
      <c r="H196" s="2660">
        <f>24878.28243+1815.95361+948.3-27642.53604</f>
        <v>0</v>
      </c>
      <c r="I196" s="2661"/>
      <c r="J196" s="2662"/>
      <c r="K196" s="2631"/>
      <c r="L196" s="2631"/>
      <c r="M196" s="2631"/>
      <c r="N196" s="2663">
        <v>0</v>
      </c>
      <c r="O196" s="2631"/>
      <c r="P196" s="2631"/>
      <c r="Q196" s="2631"/>
      <c r="R196" s="2631"/>
      <c r="S196" s="2631"/>
      <c r="T196" s="2631"/>
      <c r="U196" s="2660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35">
      <c r="A197" s="1179"/>
      <c r="B197" s="1198" t="s">
        <v>1235</v>
      </c>
      <c r="C197" s="1217"/>
      <c r="D197" s="2757" t="s">
        <v>452</v>
      </c>
      <c r="E197" s="2757" t="s">
        <v>539</v>
      </c>
      <c r="F197" s="2757" t="s">
        <v>1236</v>
      </c>
      <c r="G197" s="2751"/>
      <c r="H197" s="2670">
        <f>H198</f>
        <v>26694.23604</v>
      </c>
      <c r="I197" s="2671"/>
      <c r="J197" s="2672"/>
      <c r="K197" s="2673"/>
      <c r="L197" s="2673"/>
      <c r="M197" s="2673"/>
      <c r="N197" s="2674">
        <f>N198</f>
        <v>0</v>
      </c>
      <c r="O197" s="2675"/>
      <c r="P197" s="2675"/>
      <c r="Q197" s="2675"/>
      <c r="R197" s="2675"/>
      <c r="S197" s="2675"/>
      <c r="T197" s="2675"/>
      <c r="U197" s="2670">
        <f>U198</f>
        <v>0</v>
      </c>
    </row>
    <row r="198" spans="1:28" ht="20.149999999999999" customHeight="1" x14ac:dyDescent="0.35">
      <c r="A198" s="1179"/>
      <c r="B198" s="1198" t="s">
        <v>948</v>
      </c>
      <c r="C198" s="1217"/>
      <c r="D198" s="2757" t="s">
        <v>452</v>
      </c>
      <c r="E198" s="2757" t="s">
        <v>539</v>
      </c>
      <c r="F198" s="2757" t="s">
        <v>1236</v>
      </c>
      <c r="G198" s="2751" t="s">
        <v>955</v>
      </c>
      <c r="H198" s="2670">
        <f>H199</f>
        <v>26694.23604</v>
      </c>
      <c r="I198" s="2671"/>
      <c r="J198" s="2672"/>
      <c r="K198" s="2673"/>
      <c r="L198" s="2673"/>
      <c r="M198" s="2673"/>
      <c r="N198" s="2674">
        <f>N199</f>
        <v>0</v>
      </c>
      <c r="O198" s="2675"/>
      <c r="P198" s="2675"/>
      <c r="Q198" s="2675"/>
      <c r="R198" s="2675"/>
      <c r="S198" s="2675"/>
      <c r="T198" s="2675"/>
      <c r="U198" s="2670">
        <f>U199</f>
        <v>0</v>
      </c>
    </row>
    <row r="199" spans="1:28" ht="21" x14ac:dyDescent="0.35">
      <c r="A199" s="1179"/>
      <c r="B199" s="1198" t="s">
        <v>454</v>
      </c>
      <c r="C199" s="1217"/>
      <c r="D199" s="2757" t="s">
        <v>452</v>
      </c>
      <c r="E199" s="2757" t="s">
        <v>539</v>
      </c>
      <c r="F199" s="2757" t="s">
        <v>1236</v>
      </c>
      <c r="G199" s="2751" t="s">
        <v>1</v>
      </c>
      <c r="H199" s="2670">
        <f>27642.53604-948.3</f>
        <v>26694.23604</v>
      </c>
      <c r="I199" s="2671"/>
      <c r="J199" s="2672"/>
      <c r="K199" s="2673"/>
      <c r="L199" s="2673"/>
      <c r="M199" s="2673"/>
      <c r="N199" s="2674">
        <v>0</v>
      </c>
      <c r="O199" s="2675"/>
      <c r="P199" s="2675"/>
      <c r="Q199" s="2675"/>
      <c r="R199" s="2675"/>
      <c r="S199" s="2675"/>
      <c r="T199" s="2675"/>
      <c r="U199" s="2670">
        <v>0</v>
      </c>
    </row>
    <row r="200" spans="1:28" x14ac:dyDescent="0.35">
      <c r="A200" s="1179"/>
      <c r="B200" s="1098" t="s">
        <v>201</v>
      </c>
      <c r="C200" s="1217"/>
      <c r="D200" s="2757" t="s">
        <v>452</v>
      </c>
      <c r="E200" s="2757" t="s">
        <v>539</v>
      </c>
      <c r="F200" s="2757" t="s">
        <v>213</v>
      </c>
      <c r="G200" s="2751"/>
      <c r="H200" s="2660">
        <f>H201</f>
        <v>2948.3</v>
      </c>
      <c r="I200" s="2661">
        <f>I202</f>
        <v>0</v>
      </c>
      <c r="J200" s="2662">
        <f>J202</f>
        <v>0</v>
      </c>
      <c r="K200" s="2631"/>
      <c r="L200" s="2631"/>
      <c r="M200" s="2631"/>
      <c r="N200" s="2663">
        <f>N201</f>
        <v>948.3</v>
      </c>
      <c r="O200" s="2631"/>
      <c r="P200" s="2631"/>
      <c r="Q200" s="2631"/>
      <c r="R200" s="2631"/>
      <c r="S200" s="2631"/>
      <c r="T200" s="2631"/>
      <c r="U200" s="2660">
        <f>U202</f>
        <v>948.3</v>
      </c>
    </row>
    <row r="201" spans="1:28" ht="21" x14ac:dyDescent="0.35">
      <c r="A201" s="1179"/>
      <c r="B201" s="753" t="s">
        <v>948</v>
      </c>
      <c r="C201" s="1217"/>
      <c r="D201" s="2757" t="s">
        <v>452</v>
      </c>
      <c r="E201" s="2757" t="s">
        <v>539</v>
      </c>
      <c r="F201" s="2757" t="s">
        <v>213</v>
      </c>
      <c r="G201" s="2751" t="s">
        <v>955</v>
      </c>
      <c r="H201" s="2660">
        <f>H202</f>
        <v>2948.3</v>
      </c>
      <c r="I201" s="2661"/>
      <c r="J201" s="2662"/>
      <c r="K201" s="2631"/>
      <c r="L201" s="2631"/>
      <c r="M201" s="2631"/>
      <c r="N201" s="2663">
        <f>N202</f>
        <v>948.3</v>
      </c>
      <c r="O201" s="2631"/>
      <c r="P201" s="2631"/>
      <c r="Q201" s="2631"/>
      <c r="R201" s="2631"/>
      <c r="S201" s="2631"/>
      <c r="T201" s="2631"/>
      <c r="U201" s="2660">
        <f>U202</f>
        <v>948.3</v>
      </c>
    </row>
    <row r="202" spans="1:28" ht="21" x14ac:dyDescent="0.35">
      <c r="A202" s="1179"/>
      <c r="B202" s="1182" t="s">
        <v>454</v>
      </c>
      <c r="C202" s="1217"/>
      <c r="D202" s="2757" t="s">
        <v>452</v>
      </c>
      <c r="E202" s="2757" t="s">
        <v>539</v>
      </c>
      <c r="F202" s="2757" t="s">
        <v>213</v>
      </c>
      <c r="G202" s="2751" t="s">
        <v>1</v>
      </c>
      <c r="H202" s="2660">
        <f>2000+948.3</f>
        <v>2948.3</v>
      </c>
      <c r="I202" s="2661"/>
      <c r="J202" s="2662"/>
      <c r="K202" s="2631"/>
      <c r="L202" s="2631"/>
      <c r="M202" s="2631"/>
      <c r="N202" s="2663">
        <v>948.3</v>
      </c>
      <c r="O202" s="2631"/>
      <c r="P202" s="2631"/>
      <c r="Q202" s="2631"/>
      <c r="R202" s="2631"/>
      <c r="S202" s="2631"/>
      <c r="T202" s="2631"/>
      <c r="U202" s="2660">
        <v>948.3</v>
      </c>
      <c r="AA202" s="1">
        <v>5.7</v>
      </c>
      <c r="AB202" s="1">
        <v>383.2</v>
      </c>
    </row>
    <row r="203" spans="1:28" ht="31.5" x14ac:dyDescent="0.35">
      <c r="A203" s="1179"/>
      <c r="B203" s="1205" t="s">
        <v>837</v>
      </c>
      <c r="C203" s="1217"/>
      <c r="D203" s="2757" t="s">
        <v>452</v>
      </c>
      <c r="E203" s="2757" t="s">
        <v>539</v>
      </c>
      <c r="F203" s="2750" t="s">
        <v>204</v>
      </c>
      <c r="G203" s="2751"/>
      <c r="H203" s="2660">
        <f>H204</f>
        <v>750</v>
      </c>
      <c r="I203" s="2661">
        <f>I204</f>
        <v>0</v>
      </c>
      <c r="J203" s="2662">
        <f>J204</f>
        <v>0</v>
      </c>
      <c r="K203" s="2631"/>
      <c r="L203" s="2631"/>
      <c r="M203" s="2631"/>
      <c r="N203" s="2663">
        <f>N204</f>
        <v>210</v>
      </c>
      <c r="O203" s="2631"/>
      <c r="P203" s="2631"/>
      <c r="Q203" s="2631"/>
      <c r="R203" s="2631"/>
      <c r="S203" s="2631"/>
      <c r="T203" s="2631"/>
      <c r="U203" s="2660">
        <f>U204</f>
        <v>210</v>
      </c>
    </row>
    <row r="204" spans="1:28" ht="21" x14ac:dyDescent="0.35">
      <c r="A204" s="1179"/>
      <c r="B204" s="1197" t="s">
        <v>203</v>
      </c>
      <c r="C204" s="1217"/>
      <c r="D204" s="2757" t="s">
        <v>452</v>
      </c>
      <c r="E204" s="2757" t="s">
        <v>539</v>
      </c>
      <c r="F204" s="2757" t="s">
        <v>202</v>
      </c>
      <c r="G204" s="2751"/>
      <c r="H204" s="2660">
        <f>H205+H207</f>
        <v>750</v>
      </c>
      <c r="I204" s="2661">
        <f>I205+I207</f>
        <v>0</v>
      </c>
      <c r="J204" s="2662">
        <f>J205+J207</f>
        <v>0</v>
      </c>
      <c r="K204" s="2631"/>
      <c r="L204" s="2631"/>
      <c r="M204" s="2631"/>
      <c r="N204" s="2663">
        <f>N205+N207</f>
        <v>210</v>
      </c>
      <c r="O204" s="2631"/>
      <c r="P204" s="2631"/>
      <c r="Q204" s="2631"/>
      <c r="R204" s="2631"/>
      <c r="S204" s="2631"/>
      <c r="T204" s="2631"/>
      <c r="U204" s="2660">
        <f>U205+U207</f>
        <v>210</v>
      </c>
    </row>
    <row r="205" spans="1:28" hidden="1" x14ac:dyDescent="0.35">
      <c r="A205" s="1179"/>
      <c r="B205" s="1197" t="s">
        <v>619</v>
      </c>
      <c r="C205" s="1217"/>
      <c r="D205" s="2757" t="s">
        <v>452</v>
      </c>
      <c r="E205" s="2757" t="s">
        <v>539</v>
      </c>
      <c r="F205" s="2757" t="s">
        <v>200</v>
      </c>
      <c r="G205" s="2751"/>
      <c r="H205" s="2660">
        <f>H206</f>
        <v>0</v>
      </c>
      <c r="I205" s="2661">
        <f>I206</f>
        <v>0</v>
      </c>
      <c r="J205" s="2662">
        <f>J206</f>
        <v>0</v>
      </c>
      <c r="K205" s="2631"/>
      <c r="L205" s="2631"/>
      <c r="M205" s="2631"/>
      <c r="N205" s="2663">
        <f>N206</f>
        <v>0</v>
      </c>
      <c r="O205" s="2631"/>
      <c r="P205" s="2631"/>
      <c r="Q205" s="2631"/>
      <c r="R205" s="2631"/>
      <c r="S205" s="2631"/>
      <c r="T205" s="2631"/>
      <c r="U205" s="2660">
        <f>U206</f>
        <v>0</v>
      </c>
    </row>
    <row r="206" spans="1:28" ht="21" hidden="1" x14ac:dyDescent="0.35">
      <c r="A206" s="1179"/>
      <c r="B206" s="1182" t="s">
        <v>454</v>
      </c>
      <c r="C206" s="1217"/>
      <c r="D206" s="2757" t="s">
        <v>452</v>
      </c>
      <c r="E206" s="2757" t="s">
        <v>539</v>
      </c>
      <c r="F206" s="2757" t="s">
        <v>200</v>
      </c>
      <c r="G206" s="2751" t="s">
        <v>1</v>
      </c>
      <c r="H206" s="2660"/>
      <c r="I206" s="2661"/>
      <c r="J206" s="2662"/>
      <c r="K206" s="2631"/>
      <c r="L206" s="2631"/>
      <c r="M206" s="2631"/>
      <c r="N206" s="2663"/>
      <c r="O206" s="2631"/>
      <c r="P206" s="2631"/>
      <c r="Q206" s="2631"/>
      <c r="R206" s="2631"/>
      <c r="S206" s="2631"/>
      <c r="T206" s="2631"/>
      <c r="U206" s="2660"/>
      <c r="V206" s="1">
        <v>750</v>
      </c>
    </row>
    <row r="207" spans="1:28" ht="21" x14ac:dyDescent="0.35">
      <c r="A207" s="1179"/>
      <c r="B207" s="1197" t="s">
        <v>199</v>
      </c>
      <c r="C207" s="1217"/>
      <c r="D207" s="2757" t="s">
        <v>452</v>
      </c>
      <c r="E207" s="2757" t="s">
        <v>539</v>
      </c>
      <c r="F207" s="2757" t="s">
        <v>198</v>
      </c>
      <c r="G207" s="2751"/>
      <c r="H207" s="2660">
        <f>H209</f>
        <v>750</v>
      </c>
      <c r="I207" s="2661">
        <f>I209</f>
        <v>0</v>
      </c>
      <c r="J207" s="2662">
        <f>J209</f>
        <v>0</v>
      </c>
      <c r="K207" s="2631"/>
      <c r="L207" s="2631"/>
      <c r="M207" s="2631"/>
      <c r="N207" s="2663">
        <f>N209</f>
        <v>210</v>
      </c>
      <c r="O207" s="2631"/>
      <c r="P207" s="2631"/>
      <c r="Q207" s="2631"/>
      <c r="R207" s="2631"/>
      <c r="S207" s="2631"/>
      <c r="T207" s="2631"/>
      <c r="U207" s="2660">
        <f>U209</f>
        <v>210</v>
      </c>
    </row>
    <row r="208" spans="1:28" ht="21" x14ac:dyDescent="0.35">
      <c r="A208" s="1179"/>
      <c r="B208" s="753" t="s">
        <v>948</v>
      </c>
      <c r="C208" s="1217"/>
      <c r="D208" s="2757" t="s">
        <v>452</v>
      </c>
      <c r="E208" s="2757" t="s">
        <v>539</v>
      </c>
      <c r="F208" s="2757" t="s">
        <v>198</v>
      </c>
      <c r="G208" s="2751" t="s">
        <v>955</v>
      </c>
      <c r="H208" s="2660">
        <f t="shared" ref="H208:U208" si="42">H209</f>
        <v>750</v>
      </c>
      <c r="I208" s="2661">
        <f t="shared" si="42"/>
        <v>0</v>
      </c>
      <c r="J208" s="2662">
        <f t="shared" si="42"/>
        <v>0</v>
      </c>
      <c r="K208" s="2631">
        <f t="shared" si="42"/>
        <v>0</v>
      </c>
      <c r="L208" s="2631">
        <f t="shared" si="42"/>
        <v>0</v>
      </c>
      <c r="M208" s="2631">
        <f t="shared" si="42"/>
        <v>0</v>
      </c>
      <c r="N208" s="2663">
        <f t="shared" si="42"/>
        <v>210</v>
      </c>
      <c r="O208" s="2631">
        <f t="shared" si="42"/>
        <v>0</v>
      </c>
      <c r="P208" s="2631">
        <f t="shared" si="42"/>
        <v>0</v>
      </c>
      <c r="Q208" s="2631">
        <f t="shared" si="42"/>
        <v>0</v>
      </c>
      <c r="R208" s="2631">
        <f t="shared" si="42"/>
        <v>0</v>
      </c>
      <c r="S208" s="2631">
        <f t="shared" si="42"/>
        <v>0</v>
      </c>
      <c r="T208" s="2631">
        <f t="shared" si="42"/>
        <v>0</v>
      </c>
      <c r="U208" s="2660">
        <f t="shared" si="42"/>
        <v>210</v>
      </c>
    </row>
    <row r="209" spans="1:24" ht="21" x14ac:dyDescent="0.35">
      <c r="A209" s="1179"/>
      <c r="B209" s="1182" t="s">
        <v>454</v>
      </c>
      <c r="C209" s="1217"/>
      <c r="D209" s="2757" t="s">
        <v>452</v>
      </c>
      <c r="E209" s="2757" t="s">
        <v>539</v>
      </c>
      <c r="F209" s="2757" t="s">
        <v>198</v>
      </c>
      <c r="G209" s="2751" t="s">
        <v>1</v>
      </c>
      <c r="H209" s="2660">
        <v>750</v>
      </c>
      <c r="I209" s="2661"/>
      <c r="J209" s="2662"/>
      <c r="K209" s="2631"/>
      <c r="L209" s="2631"/>
      <c r="M209" s="2631"/>
      <c r="N209" s="2663">
        <f>1210-1000</f>
        <v>210</v>
      </c>
      <c r="O209" s="2631"/>
      <c r="P209" s="2631"/>
      <c r="Q209" s="2631"/>
      <c r="R209" s="2631"/>
      <c r="S209" s="2631"/>
      <c r="T209" s="2631"/>
      <c r="U209" s="2660">
        <v>210</v>
      </c>
      <c r="V209" s="1">
        <v>440</v>
      </c>
      <c r="W209" s="1">
        <v>460</v>
      </c>
      <c r="X209" s="1">
        <v>520</v>
      </c>
    </row>
    <row r="210" spans="1:24" ht="42" hidden="1" x14ac:dyDescent="0.35">
      <c r="A210" s="842"/>
      <c r="B210" s="1230" t="s">
        <v>557</v>
      </c>
      <c r="C210" s="408"/>
      <c r="D210" s="2750" t="s">
        <v>452</v>
      </c>
      <c r="E210" s="2750" t="s">
        <v>539</v>
      </c>
      <c r="F210" s="2750" t="s">
        <v>556</v>
      </c>
      <c r="G210" s="2751"/>
      <c r="H210" s="2660">
        <f>H211</f>
        <v>0</v>
      </c>
      <c r="I210" s="2661">
        <f>I211</f>
        <v>0</v>
      </c>
      <c r="J210" s="2662">
        <f>J211</f>
        <v>0</v>
      </c>
      <c r="K210" s="2631"/>
      <c r="L210" s="2631"/>
      <c r="M210" s="2631"/>
      <c r="N210" s="2663">
        <f>N211</f>
        <v>0</v>
      </c>
      <c r="O210" s="2631"/>
      <c r="P210" s="2631"/>
      <c r="Q210" s="2631"/>
      <c r="R210" s="2631"/>
      <c r="S210" s="2631"/>
      <c r="T210" s="2631"/>
      <c r="U210" s="2660">
        <f>U211</f>
        <v>0</v>
      </c>
    </row>
    <row r="211" spans="1:24" ht="21" hidden="1" x14ac:dyDescent="0.35">
      <c r="A211" s="1179"/>
      <c r="B211" s="1219" t="s">
        <v>555</v>
      </c>
      <c r="C211" s="1217"/>
      <c r="D211" s="2757" t="s">
        <v>452</v>
      </c>
      <c r="E211" s="2757" t="s">
        <v>539</v>
      </c>
      <c r="F211" s="2757" t="s">
        <v>554</v>
      </c>
      <c r="G211" s="2758"/>
      <c r="H211" s="2660">
        <f>H212+H215</f>
        <v>0</v>
      </c>
      <c r="I211" s="2661">
        <f>I212+I215</f>
        <v>0</v>
      </c>
      <c r="J211" s="2662">
        <f>J212+J215</f>
        <v>0</v>
      </c>
      <c r="K211" s="2631"/>
      <c r="L211" s="2631"/>
      <c r="M211" s="2631"/>
      <c r="N211" s="2663">
        <f>N212+N215</f>
        <v>0</v>
      </c>
      <c r="O211" s="2631"/>
      <c r="P211" s="2631"/>
      <c r="Q211" s="2631"/>
      <c r="R211" s="2631"/>
      <c r="S211" s="2631"/>
      <c r="T211" s="2631"/>
      <c r="U211" s="2660">
        <f>U212+U215</f>
        <v>0</v>
      </c>
    </row>
    <row r="212" spans="1:24" ht="42" hidden="1" x14ac:dyDescent="0.35">
      <c r="A212" s="1179"/>
      <c r="B212" s="1219" t="s">
        <v>553</v>
      </c>
      <c r="C212" s="1217"/>
      <c r="D212" s="2757" t="s">
        <v>452</v>
      </c>
      <c r="E212" s="2757" t="s">
        <v>539</v>
      </c>
      <c r="F212" s="2757" t="s">
        <v>552</v>
      </c>
      <c r="G212" s="2758"/>
      <c r="H212" s="2660">
        <f t="shared" ref="H212:J213" si="43">H213</f>
        <v>0</v>
      </c>
      <c r="I212" s="2661">
        <f t="shared" si="43"/>
        <v>0</v>
      </c>
      <c r="J212" s="2662">
        <f t="shared" si="43"/>
        <v>0</v>
      </c>
      <c r="K212" s="2631"/>
      <c r="L212" s="2631"/>
      <c r="M212" s="2631"/>
      <c r="N212" s="2663">
        <f t="shared" ref="N212:N213" si="44">N213</f>
        <v>0</v>
      </c>
      <c r="O212" s="2631"/>
      <c r="P212" s="2631"/>
      <c r="Q212" s="2631"/>
      <c r="R212" s="2631"/>
      <c r="S212" s="2631"/>
      <c r="T212" s="2631"/>
      <c r="U212" s="2660">
        <f t="shared" ref="U212:U213" si="45">U213</f>
        <v>0</v>
      </c>
    </row>
    <row r="213" spans="1:24" ht="31.5" hidden="1" x14ac:dyDescent="0.35">
      <c r="A213" s="1179"/>
      <c r="B213" s="753" t="s">
        <v>551</v>
      </c>
      <c r="C213" s="1217"/>
      <c r="D213" s="2757" t="s">
        <v>452</v>
      </c>
      <c r="E213" s="2757" t="s">
        <v>539</v>
      </c>
      <c r="F213" s="2757" t="s">
        <v>550</v>
      </c>
      <c r="G213" s="2758"/>
      <c r="H213" s="2660">
        <f t="shared" si="43"/>
        <v>0</v>
      </c>
      <c r="I213" s="2661">
        <f t="shared" si="43"/>
        <v>0</v>
      </c>
      <c r="J213" s="2662">
        <f t="shared" si="43"/>
        <v>0</v>
      </c>
      <c r="K213" s="2631"/>
      <c r="L213" s="2631"/>
      <c r="M213" s="2631"/>
      <c r="N213" s="2663">
        <f t="shared" si="44"/>
        <v>0</v>
      </c>
      <c r="O213" s="2631"/>
      <c r="P213" s="2631"/>
      <c r="Q213" s="2631"/>
      <c r="R213" s="2631"/>
      <c r="S213" s="2631"/>
      <c r="T213" s="2631"/>
      <c r="U213" s="2660">
        <f t="shared" si="45"/>
        <v>0</v>
      </c>
    </row>
    <row r="214" spans="1:24" hidden="1" x14ac:dyDescent="0.35">
      <c r="A214" s="1179"/>
      <c r="B214" s="1182" t="s">
        <v>481</v>
      </c>
      <c r="C214" s="1217"/>
      <c r="D214" s="2757" t="s">
        <v>452</v>
      </c>
      <c r="E214" s="2757" t="s">
        <v>539</v>
      </c>
      <c r="F214" s="2757" t="s">
        <v>550</v>
      </c>
      <c r="G214" s="2751" t="s">
        <v>26</v>
      </c>
      <c r="H214" s="2660">
        <v>0</v>
      </c>
      <c r="I214" s="2661">
        <v>0</v>
      </c>
      <c r="J214" s="2662">
        <v>0</v>
      </c>
      <c r="K214" s="2631"/>
      <c r="L214" s="2631"/>
      <c r="M214" s="2631"/>
      <c r="N214" s="2663">
        <v>0</v>
      </c>
      <c r="O214" s="2631"/>
      <c r="P214" s="2631"/>
      <c r="Q214" s="2631"/>
      <c r="R214" s="2631"/>
      <c r="S214" s="2631"/>
      <c r="T214" s="2631"/>
      <c r="U214" s="2660">
        <v>0</v>
      </c>
    </row>
    <row r="215" spans="1:24" ht="42" hidden="1" x14ac:dyDescent="0.35">
      <c r="A215" s="1179"/>
      <c r="B215" s="1219" t="s">
        <v>549</v>
      </c>
      <c r="C215" s="1217"/>
      <c r="D215" s="2757" t="s">
        <v>548</v>
      </c>
      <c r="E215" s="2757" t="s">
        <v>539</v>
      </c>
      <c r="F215" s="2757" t="s">
        <v>547</v>
      </c>
      <c r="G215" s="2758"/>
      <c r="H215" s="2660">
        <f>H216+H218+H220</f>
        <v>0</v>
      </c>
      <c r="I215" s="2661">
        <f>I216+I218+I220</f>
        <v>0</v>
      </c>
      <c r="J215" s="2662">
        <f>J216+J218+J220</f>
        <v>0</v>
      </c>
      <c r="K215" s="2631"/>
      <c r="L215" s="2631"/>
      <c r="M215" s="2631"/>
      <c r="N215" s="2663">
        <f>N216+N218+N220</f>
        <v>0</v>
      </c>
      <c r="O215" s="2631"/>
      <c r="P215" s="2631"/>
      <c r="Q215" s="2631"/>
      <c r="R215" s="2631"/>
      <c r="S215" s="2631"/>
      <c r="T215" s="2631"/>
      <c r="U215" s="2660">
        <f>U216+U218+U220</f>
        <v>0</v>
      </c>
    </row>
    <row r="216" spans="1:24" ht="31.5" hidden="1" x14ac:dyDescent="0.35">
      <c r="A216" s="1179"/>
      <c r="B216" s="753" t="s">
        <v>546</v>
      </c>
      <c r="C216" s="1217"/>
      <c r="D216" s="2757" t="s">
        <v>452</v>
      </c>
      <c r="E216" s="2757" t="s">
        <v>539</v>
      </c>
      <c r="F216" s="2757" t="s">
        <v>545</v>
      </c>
      <c r="G216" s="2758"/>
      <c r="H216" s="2660">
        <f>H217</f>
        <v>0</v>
      </c>
      <c r="I216" s="2661">
        <f>I217</f>
        <v>0</v>
      </c>
      <c r="J216" s="2662">
        <f>J217</f>
        <v>0</v>
      </c>
      <c r="K216" s="2631"/>
      <c r="L216" s="2631"/>
      <c r="M216" s="2631"/>
      <c r="N216" s="2663">
        <f>N217</f>
        <v>0</v>
      </c>
      <c r="O216" s="2631"/>
      <c r="P216" s="2631"/>
      <c r="Q216" s="2631"/>
      <c r="R216" s="2631"/>
      <c r="S216" s="2631"/>
      <c r="T216" s="2631"/>
      <c r="U216" s="2660">
        <f>U217</f>
        <v>0</v>
      </c>
    </row>
    <row r="217" spans="1:24" ht="21" hidden="1" x14ac:dyDescent="0.35">
      <c r="A217" s="1179"/>
      <c r="B217" s="1182" t="s">
        <v>454</v>
      </c>
      <c r="C217" s="1217"/>
      <c r="D217" s="2757" t="s">
        <v>452</v>
      </c>
      <c r="E217" s="2757" t="s">
        <v>539</v>
      </c>
      <c r="F217" s="2757" t="s">
        <v>545</v>
      </c>
      <c r="G217" s="2751" t="s">
        <v>1</v>
      </c>
      <c r="H217" s="2660"/>
      <c r="I217" s="2661"/>
      <c r="J217" s="2662"/>
      <c r="K217" s="2631"/>
      <c r="L217" s="2631"/>
      <c r="M217" s="2631"/>
      <c r="N217" s="2663"/>
      <c r="O217" s="2631"/>
      <c r="P217" s="2631"/>
      <c r="Q217" s="2631"/>
      <c r="R217" s="2631"/>
      <c r="S217" s="2631"/>
      <c r="T217" s="2631"/>
      <c r="U217" s="2660"/>
    </row>
    <row r="218" spans="1:24" ht="42" hidden="1" x14ac:dyDescent="0.35">
      <c r="A218" s="1229"/>
      <c r="B218" s="753" t="s">
        <v>544</v>
      </c>
      <c r="C218" s="1217"/>
      <c r="D218" s="2757" t="s">
        <v>452</v>
      </c>
      <c r="E218" s="2757" t="s">
        <v>539</v>
      </c>
      <c r="F218" s="2757" t="s">
        <v>543</v>
      </c>
      <c r="G218" s="2758"/>
      <c r="H218" s="2660">
        <f>H219</f>
        <v>0</v>
      </c>
      <c r="I218" s="2661">
        <f>I219</f>
        <v>0</v>
      </c>
      <c r="J218" s="2662">
        <f>J219</f>
        <v>0</v>
      </c>
      <c r="K218" s="2631"/>
      <c r="L218" s="2631"/>
      <c r="M218" s="2631"/>
      <c r="N218" s="2663">
        <f>N219</f>
        <v>0</v>
      </c>
      <c r="O218" s="2631"/>
      <c r="P218" s="2631"/>
      <c r="Q218" s="2631"/>
      <c r="R218" s="2631"/>
      <c r="S218" s="2631"/>
      <c r="T218" s="2631"/>
      <c r="U218" s="2660">
        <f>U219</f>
        <v>0</v>
      </c>
    </row>
    <row r="219" spans="1:24" ht="21" hidden="1" x14ac:dyDescent="0.35">
      <c r="A219" s="1229"/>
      <c r="B219" s="1182" t="s">
        <v>454</v>
      </c>
      <c r="C219" s="1217"/>
      <c r="D219" s="2757" t="s">
        <v>452</v>
      </c>
      <c r="E219" s="2757" t="s">
        <v>539</v>
      </c>
      <c r="F219" s="2757" t="s">
        <v>543</v>
      </c>
      <c r="G219" s="2751" t="s">
        <v>1</v>
      </c>
      <c r="H219" s="2660"/>
      <c r="I219" s="2661"/>
      <c r="J219" s="2662"/>
      <c r="K219" s="2631"/>
      <c r="L219" s="2631"/>
      <c r="M219" s="2631"/>
      <c r="N219" s="2663"/>
      <c r="O219" s="2631"/>
      <c r="P219" s="2631"/>
      <c r="Q219" s="2631"/>
      <c r="R219" s="2631"/>
      <c r="S219" s="2631"/>
      <c r="T219" s="2631"/>
      <c r="U219" s="2660"/>
    </row>
    <row r="220" spans="1:24" ht="42" hidden="1" x14ac:dyDescent="0.35">
      <c r="A220" s="1229"/>
      <c r="B220" s="753" t="s">
        <v>542</v>
      </c>
      <c r="C220" s="1217"/>
      <c r="D220" s="2757" t="s">
        <v>452</v>
      </c>
      <c r="E220" s="2757" t="s">
        <v>539</v>
      </c>
      <c r="F220" s="2757" t="s">
        <v>541</v>
      </c>
      <c r="G220" s="2758"/>
      <c r="H220" s="2660">
        <f>H221</f>
        <v>0</v>
      </c>
      <c r="I220" s="2661">
        <f>I221</f>
        <v>0</v>
      </c>
      <c r="J220" s="2662">
        <f>J221</f>
        <v>0</v>
      </c>
      <c r="K220" s="2631"/>
      <c r="L220" s="2631"/>
      <c r="M220" s="2631"/>
      <c r="N220" s="2663">
        <f>N221</f>
        <v>0</v>
      </c>
      <c r="O220" s="2631"/>
      <c r="P220" s="2631"/>
      <c r="Q220" s="2631"/>
      <c r="R220" s="2631"/>
      <c r="S220" s="2631"/>
      <c r="T220" s="2631"/>
      <c r="U220" s="2660">
        <f>U221</f>
        <v>0</v>
      </c>
    </row>
    <row r="221" spans="1:24" ht="21" hidden="1" x14ac:dyDescent="0.35">
      <c r="A221" s="1229"/>
      <c r="B221" s="1182" t="s">
        <v>454</v>
      </c>
      <c r="C221" s="1217"/>
      <c r="D221" s="2757" t="s">
        <v>452</v>
      </c>
      <c r="E221" s="2757" t="s">
        <v>539</v>
      </c>
      <c r="F221" s="2757" t="s">
        <v>541</v>
      </c>
      <c r="G221" s="2751" t="s">
        <v>1</v>
      </c>
      <c r="H221" s="2660"/>
      <c r="I221" s="2661"/>
      <c r="J221" s="2662"/>
      <c r="K221" s="2631"/>
      <c r="L221" s="2631"/>
      <c r="M221" s="2631"/>
      <c r="N221" s="2663"/>
      <c r="O221" s="2631"/>
      <c r="P221" s="2631"/>
      <c r="Q221" s="2631"/>
      <c r="R221" s="2631"/>
      <c r="S221" s="2631"/>
      <c r="T221" s="2631"/>
      <c r="U221" s="2660"/>
    </row>
    <row r="222" spans="1:24" ht="31.5" hidden="1" x14ac:dyDescent="0.35">
      <c r="A222" s="1211"/>
      <c r="B222" s="753" t="s">
        <v>499</v>
      </c>
      <c r="C222" s="1177"/>
      <c r="D222" s="2750" t="s">
        <v>452</v>
      </c>
      <c r="E222" s="2750" t="s">
        <v>539</v>
      </c>
      <c r="F222" s="2750" t="s">
        <v>89</v>
      </c>
      <c r="G222" s="2751"/>
      <c r="H222" s="2660">
        <f t="shared" ref="H222:J225" si="46">H223</f>
        <v>0</v>
      </c>
      <c r="I222" s="2661">
        <f t="shared" si="46"/>
        <v>0</v>
      </c>
      <c r="J222" s="2662">
        <f t="shared" si="46"/>
        <v>0</v>
      </c>
      <c r="K222" s="2631"/>
      <c r="L222" s="2631"/>
      <c r="M222" s="2631"/>
      <c r="N222" s="2663">
        <f t="shared" ref="N222:N225" si="47">N223</f>
        <v>0</v>
      </c>
      <c r="O222" s="2631"/>
      <c r="P222" s="2631"/>
      <c r="Q222" s="2631"/>
      <c r="R222" s="2631"/>
      <c r="S222" s="2631"/>
      <c r="T222" s="2631"/>
      <c r="U222" s="2660">
        <f t="shared" ref="U222:U225" si="48">U223</f>
        <v>0</v>
      </c>
    </row>
    <row r="223" spans="1:24" hidden="1" x14ac:dyDescent="0.35">
      <c r="A223" s="842"/>
      <c r="B223" s="753" t="s">
        <v>109</v>
      </c>
      <c r="C223" s="1177"/>
      <c r="D223" s="2750" t="s">
        <v>452</v>
      </c>
      <c r="E223" s="2750" t="s">
        <v>539</v>
      </c>
      <c r="F223" s="2750" t="s">
        <v>84</v>
      </c>
      <c r="G223" s="2751"/>
      <c r="H223" s="2660">
        <f t="shared" si="46"/>
        <v>0</v>
      </c>
      <c r="I223" s="2661">
        <f t="shared" si="46"/>
        <v>0</v>
      </c>
      <c r="J223" s="2662">
        <f t="shared" si="46"/>
        <v>0</v>
      </c>
      <c r="K223" s="2631"/>
      <c r="L223" s="2631"/>
      <c r="M223" s="2631"/>
      <c r="N223" s="2663">
        <f t="shared" si="47"/>
        <v>0</v>
      </c>
      <c r="O223" s="2631"/>
      <c r="P223" s="2631"/>
      <c r="Q223" s="2631"/>
      <c r="R223" s="2631"/>
      <c r="S223" s="2631"/>
      <c r="T223" s="2631"/>
      <c r="U223" s="2660">
        <f t="shared" si="48"/>
        <v>0</v>
      </c>
    </row>
    <row r="224" spans="1:24" hidden="1" x14ac:dyDescent="0.35">
      <c r="A224" s="842"/>
      <c r="B224" s="753" t="s">
        <v>109</v>
      </c>
      <c r="C224" s="1177"/>
      <c r="D224" s="2750" t="s">
        <v>452</v>
      </c>
      <c r="E224" s="2750" t="s">
        <v>539</v>
      </c>
      <c r="F224" s="2750" t="s">
        <v>82</v>
      </c>
      <c r="G224" s="2751"/>
      <c r="H224" s="2660">
        <f>H225</f>
        <v>0</v>
      </c>
      <c r="I224" s="2661">
        <f t="shared" si="46"/>
        <v>0</v>
      </c>
      <c r="J224" s="2662">
        <f t="shared" si="46"/>
        <v>0</v>
      </c>
      <c r="K224" s="2631">
        <v>388.9</v>
      </c>
      <c r="L224" s="2631"/>
      <c r="M224" s="2631"/>
      <c r="N224" s="2663">
        <f>N225</f>
        <v>0</v>
      </c>
      <c r="O224" s="2631"/>
      <c r="P224" s="2631"/>
      <c r="Q224" s="2631"/>
      <c r="R224" s="2631"/>
      <c r="S224" s="2631"/>
      <c r="T224" s="2631"/>
      <c r="U224" s="2660">
        <f>U225</f>
        <v>0</v>
      </c>
    </row>
    <row r="225" spans="1:21" ht="21" hidden="1" x14ac:dyDescent="0.35">
      <c r="A225" s="1229"/>
      <c r="B225" s="1481" t="s">
        <v>967</v>
      </c>
      <c r="C225" s="409"/>
      <c r="D225" s="2750" t="s">
        <v>452</v>
      </c>
      <c r="E225" s="2750" t="s">
        <v>539</v>
      </c>
      <c r="F225" s="2762" t="s">
        <v>965</v>
      </c>
      <c r="G225" s="2751"/>
      <c r="H225" s="2660">
        <f t="shared" si="46"/>
        <v>0</v>
      </c>
      <c r="I225" s="2661">
        <f t="shared" si="46"/>
        <v>0</v>
      </c>
      <c r="J225" s="2662">
        <f t="shared" si="46"/>
        <v>0</v>
      </c>
      <c r="K225" s="2631"/>
      <c r="L225" s="2631"/>
      <c r="M225" s="2631"/>
      <c r="N225" s="2663">
        <f t="shared" si="47"/>
        <v>0</v>
      </c>
      <c r="O225" s="2631"/>
      <c r="P225" s="2631"/>
      <c r="Q225" s="2631"/>
      <c r="R225" s="2631"/>
      <c r="S225" s="2631"/>
      <c r="T225" s="2631"/>
      <c r="U225" s="2660">
        <f t="shared" si="48"/>
        <v>0</v>
      </c>
    </row>
    <row r="226" spans="1:21" ht="21" hidden="1" x14ac:dyDescent="0.35">
      <c r="A226" s="1229"/>
      <c r="B226" s="1182" t="s">
        <v>454</v>
      </c>
      <c r="C226" s="1217"/>
      <c r="D226" s="2757" t="s">
        <v>452</v>
      </c>
      <c r="E226" s="2757" t="s">
        <v>539</v>
      </c>
      <c r="F226" s="2762" t="s">
        <v>965</v>
      </c>
      <c r="G226" s="2751" t="s">
        <v>1</v>
      </c>
      <c r="H226" s="2660"/>
      <c r="I226" s="2661"/>
      <c r="J226" s="2662"/>
      <c r="K226" s="2631">
        <v>388.9</v>
      </c>
      <c r="L226" s="2631"/>
      <c r="M226" s="2631"/>
      <c r="N226" s="2663"/>
      <c r="O226" s="2631"/>
      <c r="P226" s="2631"/>
      <c r="Q226" s="2631"/>
      <c r="R226" s="2631"/>
      <c r="S226" s="2631"/>
      <c r="T226" s="2631"/>
      <c r="U226" s="2660"/>
    </row>
    <row r="227" spans="1:21" x14ac:dyDescent="0.35">
      <c r="A227" s="1229"/>
      <c r="B227" s="1225" t="s">
        <v>51</v>
      </c>
      <c r="C227" s="1227"/>
      <c r="D227" s="2759" t="s">
        <v>452</v>
      </c>
      <c r="E227" s="2759" t="s">
        <v>534</v>
      </c>
      <c r="F227" s="2759"/>
      <c r="G227" s="2760"/>
      <c r="H227" s="2664">
        <f>H228+H233</f>
        <v>3991.6709100000003</v>
      </c>
      <c r="I227" s="2665">
        <f>I228+I233</f>
        <v>0</v>
      </c>
      <c r="J227" s="2666">
        <f>J228+J233</f>
        <v>0</v>
      </c>
      <c r="K227" s="2631"/>
      <c r="L227" s="2631"/>
      <c r="M227" s="2631"/>
      <c r="N227" s="2667">
        <f>N228+N233</f>
        <v>875.99</v>
      </c>
      <c r="O227" s="2631"/>
      <c r="P227" s="2631"/>
      <c r="Q227" s="2631"/>
      <c r="R227" s="2631"/>
      <c r="S227" s="2631"/>
      <c r="T227" s="2631"/>
      <c r="U227" s="2664">
        <f>U228+U233</f>
        <v>1435.087</v>
      </c>
    </row>
    <row r="228" spans="1:21" ht="31.5" x14ac:dyDescent="0.35">
      <c r="A228" s="1179"/>
      <c r="B228" s="1205" t="s">
        <v>907</v>
      </c>
      <c r="C228" s="409"/>
      <c r="D228" s="2750" t="s">
        <v>452</v>
      </c>
      <c r="E228" s="2750" t="s">
        <v>534</v>
      </c>
      <c r="F228" s="2750" t="s">
        <v>292</v>
      </c>
      <c r="G228" s="2751"/>
      <c r="H228" s="2660">
        <f t="shared" ref="H228:J229" si="49">H229</f>
        <v>296.87090999999998</v>
      </c>
      <c r="I228" s="2661">
        <f t="shared" si="49"/>
        <v>0</v>
      </c>
      <c r="J228" s="2668">
        <f t="shared" si="49"/>
        <v>0</v>
      </c>
      <c r="K228" s="2639">
        <f>330</f>
        <v>330</v>
      </c>
      <c r="L228" s="2631"/>
      <c r="M228" s="2631"/>
      <c r="N228" s="2663">
        <f t="shared" ref="N228:N229" si="50">N229</f>
        <v>390</v>
      </c>
      <c r="O228" s="2631"/>
      <c r="P228" s="2631"/>
      <c r="Q228" s="2631"/>
      <c r="R228" s="2631"/>
      <c r="S228" s="2631"/>
      <c r="T228" s="2631"/>
      <c r="U228" s="2660">
        <f t="shared" ref="U228:U229" si="51">U229</f>
        <v>390</v>
      </c>
    </row>
    <row r="229" spans="1:21" ht="31.5" x14ac:dyDescent="0.35">
      <c r="A229" s="1179"/>
      <c r="B229" s="1197" t="s">
        <v>289</v>
      </c>
      <c r="C229" s="409"/>
      <c r="D229" s="2750" t="s">
        <v>452</v>
      </c>
      <c r="E229" s="2750" t="s">
        <v>534</v>
      </c>
      <c r="F229" s="2750" t="s">
        <v>286</v>
      </c>
      <c r="G229" s="2751"/>
      <c r="H229" s="2660">
        <f t="shared" si="49"/>
        <v>296.87090999999998</v>
      </c>
      <c r="I229" s="2661">
        <f t="shared" si="49"/>
        <v>0</v>
      </c>
      <c r="J229" s="2668">
        <f t="shared" si="49"/>
        <v>0</v>
      </c>
      <c r="K229" s="2631"/>
      <c r="L229" s="2631"/>
      <c r="M229" s="2631"/>
      <c r="N229" s="2663">
        <f t="shared" si="50"/>
        <v>390</v>
      </c>
      <c r="O229" s="2631"/>
      <c r="P229" s="2631"/>
      <c r="Q229" s="2631"/>
      <c r="R229" s="2631"/>
      <c r="S229" s="2631"/>
      <c r="T229" s="2631"/>
      <c r="U229" s="2660">
        <f t="shared" si="51"/>
        <v>390</v>
      </c>
    </row>
    <row r="230" spans="1:21" ht="21" x14ac:dyDescent="0.35">
      <c r="A230" s="1179"/>
      <c r="B230" s="1232" t="s">
        <v>287</v>
      </c>
      <c r="C230" s="1217"/>
      <c r="D230" s="2757" t="s">
        <v>452</v>
      </c>
      <c r="E230" s="2757" t="s">
        <v>534</v>
      </c>
      <c r="F230" s="2757" t="s">
        <v>275</v>
      </c>
      <c r="G230" s="2758"/>
      <c r="H230" s="2660">
        <f>H232</f>
        <v>296.87090999999998</v>
      </c>
      <c r="I230" s="2661">
        <f>I232</f>
        <v>0</v>
      </c>
      <c r="J230" s="2668">
        <f>J232</f>
        <v>0</v>
      </c>
      <c r="K230" s="2631"/>
      <c r="L230" s="2631"/>
      <c r="M230" s="2631"/>
      <c r="N230" s="2663">
        <f>N232</f>
        <v>390</v>
      </c>
      <c r="O230" s="2631"/>
      <c r="P230" s="2631"/>
      <c r="Q230" s="2631"/>
      <c r="R230" s="2631"/>
      <c r="S230" s="2631"/>
      <c r="T230" s="2631"/>
      <c r="U230" s="2660">
        <f>U232</f>
        <v>390</v>
      </c>
    </row>
    <row r="231" spans="1:21" ht="21" x14ac:dyDescent="0.35">
      <c r="A231" s="1179"/>
      <c r="B231" s="753" t="s">
        <v>948</v>
      </c>
      <c r="C231" s="1217"/>
      <c r="D231" s="2757" t="s">
        <v>452</v>
      </c>
      <c r="E231" s="2757" t="s">
        <v>534</v>
      </c>
      <c r="F231" s="2757" t="s">
        <v>275</v>
      </c>
      <c r="G231" s="2758" t="s">
        <v>955</v>
      </c>
      <c r="H231" s="2660">
        <f t="shared" ref="H231:U231" si="52">H232</f>
        <v>296.87090999999998</v>
      </c>
      <c r="I231" s="2661">
        <f t="shared" si="52"/>
        <v>0</v>
      </c>
      <c r="J231" s="2669">
        <f t="shared" si="52"/>
        <v>0</v>
      </c>
      <c r="K231" s="2631">
        <f t="shared" si="52"/>
        <v>0</v>
      </c>
      <c r="L231" s="2631">
        <f t="shared" si="52"/>
        <v>0</v>
      </c>
      <c r="M231" s="2631">
        <f t="shared" si="52"/>
        <v>0</v>
      </c>
      <c r="N231" s="2663">
        <f t="shared" si="52"/>
        <v>390</v>
      </c>
      <c r="O231" s="2631">
        <f t="shared" si="52"/>
        <v>0</v>
      </c>
      <c r="P231" s="2631">
        <f t="shared" si="52"/>
        <v>0</v>
      </c>
      <c r="Q231" s="2631">
        <f t="shared" si="52"/>
        <v>0</v>
      </c>
      <c r="R231" s="2631">
        <f t="shared" si="52"/>
        <v>0</v>
      </c>
      <c r="S231" s="2631">
        <f t="shared" si="52"/>
        <v>0</v>
      </c>
      <c r="T231" s="2631">
        <f t="shared" si="52"/>
        <v>0</v>
      </c>
      <c r="U231" s="2660">
        <f t="shared" si="52"/>
        <v>390</v>
      </c>
    </row>
    <row r="232" spans="1:21" ht="21" x14ac:dyDescent="0.35">
      <c r="A232" s="1179"/>
      <c r="B232" s="1182" t="s">
        <v>454</v>
      </c>
      <c r="C232" s="1217"/>
      <c r="D232" s="2757" t="s">
        <v>452</v>
      </c>
      <c r="E232" s="2757" t="s">
        <v>534</v>
      </c>
      <c r="F232" s="2757" t="s">
        <v>275</v>
      </c>
      <c r="G232" s="2751" t="s">
        <v>1</v>
      </c>
      <c r="H232" s="2660">
        <v>296.87090999999998</v>
      </c>
      <c r="I232" s="2661"/>
      <c r="J232" s="2662"/>
      <c r="K232" s="2631"/>
      <c r="L232" s="2631"/>
      <c r="M232" s="2631"/>
      <c r="N232" s="2663">
        <v>390</v>
      </c>
      <c r="O232" s="2631"/>
      <c r="P232" s="2631"/>
      <c r="Q232" s="2631"/>
      <c r="R232" s="2631"/>
      <c r="S232" s="2631"/>
      <c r="T232" s="2631"/>
      <c r="U232" s="2660">
        <v>390</v>
      </c>
    </row>
    <row r="233" spans="1:21" ht="31.5" x14ac:dyDescent="0.35">
      <c r="A233" s="1233"/>
      <c r="B233" s="753" t="s">
        <v>499</v>
      </c>
      <c r="C233" s="1180"/>
      <c r="D233" s="2750" t="s">
        <v>452</v>
      </c>
      <c r="E233" s="2750" t="s">
        <v>534</v>
      </c>
      <c r="F233" s="2750" t="s">
        <v>89</v>
      </c>
      <c r="G233" s="2751"/>
      <c r="H233" s="2660">
        <f>H234</f>
        <v>3694.8</v>
      </c>
      <c r="I233" s="2661">
        <f t="shared" ref="H233:J234" si="53">I234</f>
        <v>0</v>
      </c>
      <c r="J233" s="2668">
        <f t="shared" si="53"/>
        <v>0</v>
      </c>
      <c r="K233" s="2631"/>
      <c r="L233" s="2631"/>
      <c r="M233" s="2631"/>
      <c r="N233" s="2663">
        <f>N234</f>
        <v>485.99000000000007</v>
      </c>
      <c r="O233" s="2631"/>
      <c r="P233" s="2631"/>
      <c r="Q233" s="2631"/>
      <c r="R233" s="2631"/>
      <c r="S233" s="2631"/>
      <c r="T233" s="2631"/>
      <c r="U233" s="2660">
        <f>U234</f>
        <v>1045.087</v>
      </c>
    </row>
    <row r="234" spans="1:21" x14ac:dyDescent="0.35">
      <c r="A234" s="1179"/>
      <c r="B234" s="753" t="s">
        <v>109</v>
      </c>
      <c r="C234" s="1180"/>
      <c r="D234" s="2750" t="s">
        <v>452</v>
      </c>
      <c r="E234" s="2750" t="s">
        <v>534</v>
      </c>
      <c r="F234" s="2750" t="s">
        <v>84</v>
      </c>
      <c r="G234" s="2751"/>
      <c r="H234" s="2660">
        <f t="shared" si="53"/>
        <v>3694.8</v>
      </c>
      <c r="I234" s="2661">
        <f t="shared" si="53"/>
        <v>0</v>
      </c>
      <c r="J234" s="2668">
        <f t="shared" si="53"/>
        <v>0</v>
      </c>
      <c r="K234" s="2631"/>
      <c r="L234" s="2631"/>
      <c r="M234" s="2631"/>
      <c r="N234" s="2663">
        <f t="shared" ref="N234" si="54">N235</f>
        <v>485.99000000000007</v>
      </c>
      <c r="O234" s="2631"/>
      <c r="P234" s="2631"/>
      <c r="Q234" s="2631"/>
      <c r="R234" s="2631"/>
      <c r="S234" s="2631"/>
      <c r="T234" s="2631"/>
      <c r="U234" s="2660">
        <f t="shared" ref="U234" si="55">U235</f>
        <v>1045.087</v>
      </c>
    </row>
    <row r="235" spans="1:21" x14ac:dyDescent="0.35">
      <c r="A235" s="1179"/>
      <c r="B235" s="753" t="s">
        <v>109</v>
      </c>
      <c r="C235" s="1180"/>
      <c r="D235" s="2750" t="s">
        <v>452</v>
      </c>
      <c r="E235" s="2750" t="s">
        <v>534</v>
      </c>
      <c r="F235" s="2750" t="s">
        <v>82</v>
      </c>
      <c r="G235" s="2751"/>
      <c r="H235" s="2660">
        <f>H236+H239+H244+H245</f>
        <v>3694.8</v>
      </c>
      <c r="I235" s="2661">
        <f>I236+I239+I244</f>
        <v>0</v>
      </c>
      <c r="J235" s="2668">
        <f>J236+J239+J244</f>
        <v>0</v>
      </c>
      <c r="K235" s="2639">
        <f>K238+K241+K244</f>
        <v>94.8</v>
      </c>
      <c r="L235" s="2631"/>
      <c r="M235" s="2631"/>
      <c r="N235" s="2663">
        <f>N236+N239+N244+N245</f>
        <v>485.99000000000007</v>
      </c>
      <c r="O235" s="2631"/>
      <c r="P235" s="2631"/>
      <c r="Q235" s="2631"/>
      <c r="R235" s="2631"/>
      <c r="S235" s="2631"/>
      <c r="T235" s="2631"/>
      <c r="U235" s="2660">
        <f>U236+U239+U244+U245</f>
        <v>1045.087</v>
      </c>
    </row>
    <row r="236" spans="1:21" x14ac:dyDescent="0.35">
      <c r="A236" s="842"/>
      <c r="B236" s="753" t="s">
        <v>537</v>
      </c>
      <c r="C236" s="409"/>
      <c r="D236" s="2750" t="s">
        <v>452</v>
      </c>
      <c r="E236" s="2750" t="s">
        <v>534</v>
      </c>
      <c r="F236" s="2750" t="s">
        <v>536</v>
      </c>
      <c r="G236" s="2751"/>
      <c r="H236" s="2660">
        <f>H238</f>
        <v>800</v>
      </c>
      <c r="I236" s="2661">
        <f>I238</f>
        <v>0</v>
      </c>
      <c r="J236" s="2668">
        <f>J238</f>
        <v>0</v>
      </c>
      <c r="K236" s="2631"/>
      <c r="L236" s="2631"/>
      <c r="M236" s="2631"/>
      <c r="N236" s="2663">
        <f>N238</f>
        <v>100</v>
      </c>
      <c r="O236" s="2631"/>
      <c r="P236" s="2631"/>
      <c r="Q236" s="2631"/>
      <c r="R236" s="2631"/>
      <c r="S236" s="2631"/>
      <c r="T236" s="2631"/>
      <c r="U236" s="2660">
        <f>U238</f>
        <v>500</v>
      </c>
    </row>
    <row r="237" spans="1:21" ht="21" x14ac:dyDescent="0.35">
      <c r="A237" s="842"/>
      <c r="B237" s="753" t="s">
        <v>948</v>
      </c>
      <c r="C237" s="409"/>
      <c r="D237" s="2757" t="s">
        <v>452</v>
      </c>
      <c r="E237" s="2757" t="s">
        <v>534</v>
      </c>
      <c r="F237" s="2757" t="s">
        <v>536</v>
      </c>
      <c r="G237" s="2751" t="s">
        <v>955</v>
      </c>
      <c r="H237" s="2660">
        <f t="shared" ref="H237:U237" si="56">H238</f>
        <v>800</v>
      </c>
      <c r="I237" s="2661">
        <f t="shared" si="56"/>
        <v>0</v>
      </c>
      <c r="J237" s="2668">
        <f t="shared" si="56"/>
        <v>0</v>
      </c>
      <c r="K237" s="2631">
        <f t="shared" si="56"/>
        <v>0</v>
      </c>
      <c r="L237" s="2631">
        <f t="shared" si="56"/>
        <v>0</v>
      </c>
      <c r="M237" s="2631">
        <f t="shared" si="56"/>
        <v>0</v>
      </c>
      <c r="N237" s="2663">
        <f t="shared" si="56"/>
        <v>100</v>
      </c>
      <c r="O237" s="2631">
        <f t="shared" si="56"/>
        <v>0</v>
      </c>
      <c r="P237" s="2631">
        <f t="shared" si="56"/>
        <v>0</v>
      </c>
      <c r="Q237" s="2631">
        <f t="shared" si="56"/>
        <v>0</v>
      </c>
      <c r="R237" s="2631">
        <f t="shared" si="56"/>
        <v>0</v>
      </c>
      <c r="S237" s="2631">
        <f t="shared" si="56"/>
        <v>0</v>
      </c>
      <c r="T237" s="2631">
        <f t="shared" si="56"/>
        <v>0</v>
      </c>
      <c r="U237" s="2660">
        <f t="shared" si="56"/>
        <v>500</v>
      </c>
    </row>
    <row r="238" spans="1:21" ht="21" x14ac:dyDescent="0.35">
      <c r="A238" s="1229"/>
      <c r="B238" s="1182" t="s">
        <v>454</v>
      </c>
      <c r="C238" s="1217"/>
      <c r="D238" s="2757" t="s">
        <v>452</v>
      </c>
      <c r="E238" s="2757" t="s">
        <v>534</v>
      </c>
      <c r="F238" s="2757" t="s">
        <v>536</v>
      </c>
      <c r="G238" s="2751" t="s">
        <v>1</v>
      </c>
      <c r="H238" s="2660">
        <f>800</f>
        <v>800</v>
      </c>
      <c r="I238" s="2661"/>
      <c r="J238" s="2668"/>
      <c r="K238" s="2647"/>
      <c r="L238" s="2631"/>
      <c r="M238" s="2631"/>
      <c r="N238" s="2663">
        <f>2000-1900</f>
        <v>100</v>
      </c>
      <c r="O238" s="2631"/>
      <c r="P238" s="2631"/>
      <c r="Q238" s="2631"/>
      <c r="R238" s="2631"/>
      <c r="S238" s="2631"/>
      <c r="T238" s="2631"/>
      <c r="U238" s="2660">
        <v>500</v>
      </c>
    </row>
    <row r="239" spans="1:21" x14ac:dyDescent="0.35">
      <c r="A239" s="842"/>
      <c r="B239" s="753" t="s">
        <v>535</v>
      </c>
      <c r="C239" s="409"/>
      <c r="D239" s="2750" t="s">
        <v>452</v>
      </c>
      <c r="E239" s="2750" t="s">
        <v>534</v>
      </c>
      <c r="F239" s="2750" t="s">
        <v>54</v>
      </c>
      <c r="G239" s="2751"/>
      <c r="H239" s="2660">
        <f>H241</f>
        <v>94.8</v>
      </c>
      <c r="I239" s="2661">
        <f>I241</f>
        <v>0</v>
      </c>
      <c r="J239" s="2668">
        <f>J241</f>
        <v>0</v>
      </c>
      <c r="K239" s="2631"/>
      <c r="L239" s="2631"/>
      <c r="M239" s="2631"/>
      <c r="N239" s="2663">
        <f>N241</f>
        <v>94.8</v>
      </c>
      <c r="O239" s="2631"/>
      <c r="P239" s="2631"/>
      <c r="Q239" s="2631"/>
      <c r="R239" s="2631"/>
      <c r="S239" s="2631"/>
      <c r="T239" s="2631"/>
      <c r="U239" s="2660">
        <f>U241</f>
        <v>94.8</v>
      </c>
    </row>
    <row r="240" spans="1:21" ht="21" x14ac:dyDescent="0.35">
      <c r="A240" s="842"/>
      <c r="B240" s="753" t="s">
        <v>948</v>
      </c>
      <c r="C240" s="409"/>
      <c r="D240" s="2757" t="s">
        <v>452</v>
      </c>
      <c r="E240" s="2757" t="s">
        <v>534</v>
      </c>
      <c r="F240" s="2757" t="s">
        <v>54</v>
      </c>
      <c r="G240" s="2751" t="s">
        <v>955</v>
      </c>
      <c r="H240" s="2660">
        <f t="shared" ref="H240:U240" si="57">H241</f>
        <v>94.8</v>
      </c>
      <c r="I240" s="2661">
        <f t="shared" si="57"/>
        <v>0</v>
      </c>
      <c r="J240" s="2669">
        <f t="shared" si="57"/>
        <v>0</v>
      </c>
      <c r="K240" s="2631">
        <f t="shared" si="57"/>
        <v>94.8</v>
      </c>
      <c r="L240" s="2631">
        <f t="shared" si="57"/>
        <v>0</v>
      </c>
      <c r="M240" s="2631">
        <f t="shared" si="57"/>
        <v>0</v>
      </c>
      <c r="N240" s="2663">
        <f t="shared" si="57"/>
        <v>94.8</v>
      </c>
      <c r="O240" s="2631">
        <f t="shared" si="57"/>
        <v>0</v>
      </c>
      <c r="P240" s="2631">
        <f t="shared" si="57"/>
        <v>0</v>
      </c>
      <c r="Q240" s="2631">
        <f t="shared" si="57"/>
        <v>0</v>
      </c>
      <c r="R240" s="2631">
        <f t="shared" si="57"/>
        <v>0</v>
      </c>
      <c r="S240" s="2631">
        <f t="shared" si="57"/>
        <v>0</v>
      </c>
      <c r="T240" s="2631">
        <f t="shared" si="57"/>
        <v>0</v>
      </c>
      <c r="U240" s="2660">
        <f t="shared" si="57"/>
        <v>94.8</v>
      </c>
    </row>
    <row r="241" spans="1:27" ht="21" x14ac:dyDescent="0.35">
      <c r="A241" s="1234"/>
      <c r="B241" s="1182" t="s">
        <v>454</v>
      </c>
      <c r="C241" s="1217"/>
      <c r="D241" s="2757" t="s">
        <v>452</v>
      </c>
      <c r="E241" s="2757" t="s">
        <v>534</v>
      </c>
      <c r="F241" s="2757" t="s">
        <v>54</v>
      </c>
      <c r="G241" s="2751" t="s">
        <v>1</v>
      </c>
      <c r="H241" s="2660">
        <v>94.8</v>
      </c>
      <c r="I241" s="2661"/>
      <c r="J241" s="2662"/>
      <c r="K241" s="2631">
        <v>94.8</v>
      </c>
      <c r="L241" s="2631"/>
      <c r="M241" s="2631"/>
      <c r="N241" s="2663">
        <v>94.8</v>
      </c>
      <c r="O241" s="2631"/>
      <c r="P241" s="2631"/>
      <c r="Q241" s="2631"/>
      <c r="R241" s="2631"/>
      <c r="S241" s="2631"/>
      <c r="T241" s="2631"/>
      <c r="U241" s="2660">
        <v>94.8</v>
      </c>
    </row>
    <row r="242" spans="1:27" x14ac:dyDescent="0.35">
      <c r="A242" s="1234"/>
      <c r="B242" s="753" t="s">
        <v>53</v>
      </c>
      <c r="C242" s="409"/>
      <c r="D242" s="2750" t="s">
        <v>452</v>
      </c>
      <c r="E242" s="2750" t="s">
        <v>534</v>
      </c>
      <c r="F242" s="2750" t="s">
        <v>50</v>
      </c>
      <c r="G242" s="2751"/>
      <c r="H242" s="2660">
        <f>H244+H245</f>
        <v>2800</v>
      </c>
      <c r="I242" s="2661">
        <f>I244</f>
        <v>0</v>
      </c>
      <c r="J242" s="2662">
        <f>J244</f>
        <v>0</v>
      </c>
      <c r="K242" s="2631"/>
      <c r="L242" s="2631"/>
      <c r="M242" s="2631"/>
      <c r="N242" s="2663">
        <f>N244+N245</f>
        <v>291.19000000000005</v>
      </c>
      <c r="O242" s="2631"/>
      <c r="P242" s="2631"/>
      <c r="Q242" s="2631"/>
      <c r="R242" s="2631"/>
      <c r="S242" s="2631"/>
      <c r="T242" s="2631"/>
      <c r="U242" s="2660">
        <f>U244+U245</f>
        <v>450.28699999999998</v>
      </c>
    </row>
    <row r="243" spans="1:27" ht="21" x14ac:dyDescent="0.35">
      <c r="A243" s="1234"/>
      <c r="B243" s="753" t="s">
        <v>948</v>
      </c>
      <c r="C243" s="409"/>
      <c r="D243" s="2757" t="s">
        <v>452</v>
      </c>
      <c r="E243" s="2757" t="s">
        <v>534</v>
      </c>
      <c r="F243" s="2757" t="s">
        <v>50</v>
      </c>
      <c r="G243" s="2751" t="s">
        <v>955</v>
      </c>
      <c r="H243" s="2660">
        <f t="shared" ref="H243:U243" si="58">H244</f>
        <v>2800</v>
      </c>
      <c r="I243" s="2661">
        <f t="shared" si="58"/>
        <v>0</v>
      </c>
      <c r="J243" s="2662">
        <f t="shared" si="58"/>
        <v>0</v>
      </c>
      <c r="K243" s="2631">
        <f t="shared" si="58"/>
        <v>0</v>
      </c>
      <c r="L243" s="2631">
        <f t="shared" si="58"/>
        <v>0</v>
      </c>
      <c r="M243" s="2631">
        <f t="shared" si="58"/>
        <v>0</v>
      </c>
      <c r="N243" s="2663">
        <f t="shared" si="58"/>
        <v>291.19000000000005</v>
      </c>
      <c r="O243" s="2631">
        <f t="shared" si="58"/>
        <v>0</v>
      </c>
      <c r="P243" s="2631">
        <f t="shared" si="58"/>
        <v>0</v>
      </c>
      <c r="Q243" s="2631">
        <f t="shared" si="58"/>
        <v>0</v>
      </c>
      <c r="R243" s="2631">
        <f t="shared" si="58"/>
        <v>0</v>
      </c>
      <c r="S243" s="2631">
        <f t="shared" si="58"/>
        <v>0</v>
      </c>
      <c r="T243" s="2631">
        <f t="shared" si="58"/>
        <v>0</v>
      </c>
      <c r="U243" s="2660">
        <f t="shared" si="58"/>
        <v>450.28699999999998</v>
      </c>
    </row>
    <row r="244" spans="1:27" ht="21" x14ac:dyDescent="0.35">
      <c r="A244" s="1234"/>
      <c r="B244" s="1182" t="s">
        <v>454</v>
      </c>
      <c r="C244" s="1217"/>
      <c r="D244" s="2757" t="s">
        <v>452</v>
      </c>
      <c r="E244" s="2757" t="s">
        <v>534</v>
      </c>
      <c r="F244" s="2757" t="s">
        <v>50</v>
      </c>
      <c r="G244" s="2751" t="s">
        <v>1</v>
      </c>
      <c r="H244" s="2660">
        <f>1800+1000</f>
        <v>2800</v>
      </c>
      <c r="I244" s="2661"/>
      <c r="J244" s="2662"/>
      <c r="K244" s="2647"/>
      <c r="L244" s="2631"/>
      <c r="M244" s="2631"/>
      <c r="N244" s="2663">
        <f>1800+2291.19-1800-2000</f>
        <v>291.19000000000005</v>
      </c>
      <c r="O244" s="2631"/>
      <c r="P244" s="2631"/>
      <c r="Q244" s="2631"/>
      <c r="R244" s="2631"/>
      <c r="S244" s="2631"/>
      <c r="T244" s="2631"/>
      <c r="U244" s="2660">
        <v>450.28699999999998</v>
      </c>
      <c r="AA244" s="1">
        <v>-5</v>
      </c>
    </row>
    <row r="245" spans="1:27" hidden="1" x14ac:dyDescent="0.35">
      <c r="A245" s="1234"/>
      <c r="B245" s="1182" t="s">
        <v>622</v>
      </c>
      <c r="C245" s="1217"/>
      <c r="D245" s="2757"/>
      <c r="E245" s="2757"/>
      <c r="F245" s="2757"/>
      <c r="G245" s="2751"/>
      <c r="H245" s="2660"/>
      <c r="I245" s="2661"/>
      <c r="J245" s="2669"/>
      <c r="K245" s="2631"/>
      <c r="L245" s="2631"/>
      <c r="M245" s="2631"/>
      <c r="N245" s="2663"/>
      <c r="O245" s="2631"/>
      <c r="P245" s="2631"/>
      <c r="Q245" s="2631"/>
      <c r="R245" s="2631"/>
      <c r="S245" s="2631"/>
      <c r="T245" s="2631"/>
      <c r="U245" s="2660"/>
    </row>
    <row r="246" spans="1:27" x14ac:dyDescent="0.35">
      <c r="A246" s="1234"/>
      <c r="B246" s="1225" t="s">
        <v>378</v>
      </c>
      <c r="C246" s="1226"/>
      <c r="D246" s="2759" t="s">
        <v>463</v>
      </c>
      <c r="E246" s="2759" t="s">
        <v>459</v>
      </c>
      <c r="F246" s="2759"/>
      <c r="G246" s="2760"/>
      <c r="H246" s="2664">
        <f>H247+H269+H320</f>
        <v>55158.901480000015</v>
      </c>
      <c r="I246" s="2665">
        <f>I247+I269+I320</f>
        <v>17214.18</v>
      </c>
      <c r="J246" s="2666">
        <f>J247+J269+J320</f>
        <v>13826.606</v>
      </c>
      <c r="K246" s="2631"/>
      <c r="L246" s="2631"/>
      <c r="M246" s="2631"/>
      <c r="N246" s="2667">
        <f>N247+N269+N320</f>
        <v>53923.357860000004</v>
      </c>
      <c r="O246" s="2631"/>
      <c r="P246" s="2631"/>
      <c r="Q246" s="2631"/>
      <c r="R246" s="2631"/>
      <c r="S246" s="2631"/>
      <c r="T246" s="2631"/>
      <c r="U246" s="2664">
        <f>U247+U269+U320</f>
        <v>49702.413</v>
      </c>
    </row>
    <row r="247" spans="1:27" x14ac:dyDescent="0.35">
      <c r="A247" s="1229"/>
      <c r="B247" s="1225" t="s">
        <v>11</v>
      </c>
      <c r="C247" s="1227"/>
      <c r="D247" s="2759" t="s">
        <v>463</v>
      </c>
      <c r="E247" s="2759" t="s">
        <v>456</v>
      </c>
      <c r="F247" s="2759"/>
      <c r="G247" s="2760"/>
      <c r="H247" s="2664">
        <f>H257+H248</f>
        <v>1204.7970800000001</v>
      </c>
      <c r="I247" s="2665">
        <f>I257</f>
        <v>0</v>
      </c>
      <c r="J247" s="2666">
        <f>J257</f>
        <v>0</v>
      </c>
      <c r="K247" s="2631"/>
      <c r="L247" s="2631"/>
      <c r="M247" s="2631"/>
      <c r="N247" s="2667">
        <f>N257+N248</f>
        <v>1277.085</v>
      </c>
      <c r="O247" s="2631"/>
      <c r="P247" s="2631"/>
      <c r="Q247" s="2631"/>
      <c r="R247" s="2631"/>
      <c r="S247" s="2631"/>
      <c r="T247" s="2631"/>
      <c r="U247" s="2664">
        <f>U257+U248</f>
        <v>1277.085</v>
      </c>
    </row>
    <row r="248" spans="1:27" ht="31.5" hidden="1" x14ac:dyDescent="0.35">
      <c r="A248" s="1229"/>
      <c r="B248" s="1203" t="s">
        <v>861</v>
      </c>
      <c r="C248" s="1177"/>
      <c r="D248" s="2750" t="s">
        <v>463</v>
      </c>
      <c r="E248" s="2750" t="s">
        <v>456</v>
      </c>
      <c r="F248" s="2750" t="s">
        <v>468</v>
      </c>
      <c r="G248" s="2751"/>
      <c r="H248" s="2660">
        <f>H249+H253</f>
        <v>0</v>
      </c>
      <c r="I248" s="2665"/>
      <c r="J248" s="2666"/>
      <c r="K248" s="2631"/>
      <c r="L248" s="2631"/>
      <c r="M248" s="2631"/>
      <c r="N248" s="2663"/>
      <c r="O248" s="2631"/>
      <c r="P248" s="2631"/>
      <c r="Q248" s="2631"/>
      <c r="R248" s="2631"/>
      <c r="S248" s="2631"/>
      <c r="T248" s="2631"/>
      <c r="U248" s="2660"/>
    </row>
    <row r="249" spans="1:27" hidden="1" x14ac:dyDescent="0.35">
      <c r="A249" s="1229"/>
      <c r="B249" s="1203" t="s">
        <v>849</v>
      </c>
      <c r="C249" s="1180"/>
      <c r="D249" s="2750" t="s">
        <v>463</v>
      </c>
      <c r="E249" s="2750" t="s">
        <v>456</v>
      </c>
      <c r="F249" s="2750" t="s">
        <v>854</v>
      </c>
      <c r="G249" s="2751"/>
      <c r="H249" s="2660">
        <f>H250</f>
        <v>0</v>
      </c>
      <c r="I249" s="2665"/>
      <c r="J249" s="2666"/>
      <c r="K249" s="2639">
        <v>186.20699999999999</v>
      </c>
      <c r="L249" s="2631"/>
      <c r="M249" s="2631"/>
      <c r="N249" s="2663"/>
      <c r="O249" s="2631"/>
      <c r="P249" s="2631"/>
      <c r="Q249" s="2631"/>
      <c r="R249" s="2631"/>
      <c r="S249" s="2631"/>
      <c r="T249" s="2631"/>
      <c r="U249" s="2660"/>
    </row>
    <row r="250" spans="1:27" ht="21" hidden="1" x14ac:dyDescent="0.35">
      <c r="A250" s="1229"/>
      <c r="B250" s="1203" t="s">
        <v>850</v>
      </c>
      <c r="C250" s="1180"/>
      <c r="D250" s="2750" t="s">
        <v>463</v>
      </c>
      <c r="E250" s="2750" t="s">
        <v>456</v>
      </c>
      <c r="F250" s="2750" t="s">
        <v>855</v>
      </c>
      <c r="G250" s="2751"/>
      <c r="H250" s="2660">
        <f>H251</f>
        <v>0</v>
      </c>
      <c r="I250" s="2665"/>
      <c r="J250" s="2666"/>
      <c r="K250" s="2631"/>
      <c r="L250" s="2631"/>
      <c r="M250" s="2631"/>
      <c r="N250" s="2663"/>
      <c r="O250" s="2631"/>
      <c r="P250" s="2631"/>
      <c r="Q250" s="2631"/>
      <c r="R250" s="2631"/>
      <c r="S250" s="2631"/>
      <c r="T250" s="2631"/>
      <c r="U250" s="2660"/>
    </row>
    <row r="251" spans="1:27" ht="31.5" hidden="1" x14ac:dyDescent="0.35">
      <c r="A251" s="1229"/>
      <c r="B251" s="1232" t="s">
        <v>851</v>
      </c>
      <c r="C251" s="1180"/>
      <c r="D251" s="2750" t="s">
        <v>463</v>
      </c>
      <c r="E251" s="2750" t="s">
        <v>456</v>
      </c>
      <c r="F251" s="2763" t="s">
        <v>856</v>
      </c>
      <c r="G251" s="2751"/>
      <c r="H251" s="2660">
        <f>H252</f>
        <v>0</v>
      </c>
      <c r="I251" s="2665"/>
      <c r="J251" s="2666"/>
      <c r="K251" s="2631"/>
      <c r="L251" s="2631"/>
      <c r="M251" s="2631"/>
      <c r="N251" s="2663"/>
      <c r="O251" s="2631"/>
      <c r="P251" s="2631"/>
      <c r="Q251" s="2631"/>
      <c r="R251" s="2631"/>
      <c r="S251" s="2631"/>
      <c r="T251" s="2631"/>
      <c r="U251" s="2660"/>
    </row>
    <row r="252" spans="1:27" ht="21" hidden="1" x14ac:dyDescent="0.35">
      <c r="A252" s="1229"/>
      <c r="B252" s="1236" t="s">
        <v>497</v>
      </c>
      <c r="C252" s="1183"/>
      <c r="D252" s="2750" t="s">
        <v>463</v>
      </c>
      <c r="E252" s="2750" t="s">
        <v>456</v>
      </c>
      <c r="F252" s="2763" t="s">
        <v>856</v>
      </c>
      <c r="G252" s="2751" t="s">
        <v>77</v>
      </c>
      <c r="H252" s="2676"/>
      <c r="I252" s="2665"/>
      <c r="J252" s="2666"/>
      <c r="K252" s="2631">
        <v>130.441</v>
      </c>
      <c r="L252" s="2631"/>
      <c r="M252" s="2631"/>
      <c r="N252" s="2677"/>
      <c r="O252" s="2631"/>
      <c r="P252" s="2631"/>
      <c r="Q252" s="2631"/>
      <c r="R252" s="2631"/>
      <c r="S252" s="2631"/>
      <c r="T252" s="2631"/>
      <c r="U252" s="2676"/>
    </row>
    <row r="253" spans="1:27" ht="31.5" hidden="1" x14ac:dyDescent="0.35">
      <c r="A253" s="1229"/>
      <c r="B253" s="1203" t="s">
        <v>853</v>
      </c>
      <c r="C253" s="1183"/>
      <c r="D253" s="2750" t="s">
        <v>463</v>
      </c>
      <c r="E253" s="2750" t="s">
        <v>456</v>
      </c>
      <c r="F253" s="2763" t="s">
        <v>857</v>
      </c>
      <c r="G253" s="2751"/>
      <c r="H253" s="2676">
        <f>H254</f>
        <v>0</v>
      </c>
      <c r="I253" s="2665"/>
      <c r="J253" s="2666"/>
      <c r="K253" s="2631"/>
      <c r="L253" s="2631"/>
      <c r="M253" s="2631"/>
      <c r="N253" s="2677"/>
      <c r="O253" s="2631"/>
      <c r="P253" s="2631"/>
      <c r="Q253" s="2631"/>
      <c r="R253" s="2631"/>
      <c r="S253" s="2631"/>
      <c r="T253" s="2631"/>
      <c r="U253" s="2676"/>
    </row>
    <row r="254" spans="1:27" ht="21" hidden="1" x14ac:dyDescent="0.35">
      <c r="A254" s="1229"/>
      <c r="B254" s="1203" t="s">
        <v>850</v>
      </c>
      <c r="C254" s="1183"/>
      <c r="D254" s="2750" t="s">
        <v>463</v>
      </c>
      <c r="E254" s="2750" t="s">
        <v>456</v>
      </c>
      <c r="F254" s="2750" t="s">
        <v>858</v>
      </c>
      <c r="G254" s="2751"/>
      <c r="H254" s="2676">
        <f>H255</f>
        <v>0</v>
      </c>
      <c r="I254" s="2665"/>
      <c r="J254" s="2666"/>
      <c r="K254" s="2631"/>
      <c r="L254" s="2631"/>
      <c r="M254" s="2631"/>
      <c r="N254" s="2677"/>
      <c r="O254" s="2631"/>
      <c r="P254" s="2631"/>
      <c r="Q254" s="2631"/>
      <c r="R254" s="2631"/>
      <c r="S254" s="2631"/>
      <c r="T254" s="2631"/>
      <c r="U254" s="2676"/>
    </row>
    <row r="255" spans="1:27" ht="31.5" hidden="1" x14ac:dyDescent="0.35">
      <c r="A255" s="1229"/>
      <c r="B255" s="1203" t="s">
        <v>851</v>
      </c>
      <c r="C255" s="1183"/>
      <c r="D255" s="2750" t="s">
        <v>463</v>
      </c>
      <c r="E255" s="2750" t="s">
        <v>456</v>
      </c>
      <c r="F255" s="2763" t="s">
        <v>859</v>
      </c>
      <c r="G255" s="2751"/>
      <c r="H255" s="2676">
        <f>H256</f>
        <v>0</v>
      </c>
      <c r="I255" s="2665"/>
      <c r="J255" s="2666"/>
      <c r="K255" s="2631"/>
      <c r="L255" s="2631"/>
      <c r="M255" s="2631"/>
      <c r="N255" s="2677"/>
      <c r="O255" s="2631"/>
      <c r="P255" s="2631"/>
      <c r="Q255" s="2631"/>
      <c r="R255" s="2631"/>
      <c r="S255" s="2631"/>
      <c r="T255" s="2631"/>
      <c r="U255" s="2676"/>
    </row>
    <row r="256" spans="1:27" ht="21" hidden="1" x14ac:dyDescent="0.35">
      <c r="A256" s="1229"/>
      <c r="B256" s="1236" t="s">
        <v>497</v>
      </c>
      <c r="C256" s="1183"/>
      <c r="D256" s="2750" t="s">
        <v>463</v>
      </c>
      <c r="E256" s="2750" t="s">
        <v>456</v>
      </c>
      <c r="F256" s="2763" t="s">
        <v>859</v>
      </c>
      <c r="G256" s="2751" t="s">
        <v>77</v>
      </c>
      <c r="H256" s="2676"/>
      <c r="I256" s="2665"/>
      <c r="J256" s="2666"/>
      <c r="K256" s="2631">
        <v>55.765999999999998</v>
      </c>
      <c r="L256" s="2631"/>
      <c r="M256" s="2631"/>
      <c r="N256" s="2677"/>
      <c r="O256" s="2631"/>
      <c r="P256" s="2631"/>
      <c r="Q256" s="2631"/>
      <c r="R256" s="2631"/>
      <c r="S256" s="2631"/>
      <c r="T256" s="2631"/>
      <c r="U256" s="2676"/>
    </row>
    <row r="257" spans="1:21" ht="22.5" customHeight="1" x14ac:dyDescent="0.35">
      <c r="A257" s="1233"/>
      <c r="B257" s="753" t="s">
        <v>499</v>
      </c>
      <c r="C257" s="1180"/>
      <c r="D257" s="2750" t="s">
        <v>463</v>
      </c>
      <c r="E257" s="2750" t="s">
        <v>456</v>
      </c>
      <c r="F257" s="2750" t="s">
        <v>89</v>
      </c>
      <c r="G257" s="2751"/>
      <c r="H257" s="2660">
        <f t="shared" ref="H257:J258" si="59">H258</f>
        <v>1204.7970800000001</v>
      </c>
      <c r="I257" s="2661">
        <f t="shared" si="59"/>
        <v>0</v>
      </c>
      <c r="J257" s="2668">
        <f t="shared" si="59"/>
        <v>0</v>
      </c>
      <c r="K257" s="2631"/>
      <c r="L257" s="2631"/>
      <c r="M257" s="2631"/>
      <c r="N257" s="2663">
        <f t="shared" ref="N257:N258" si="60">N258</f>
        <v>1277.085</v>
      </c>
      <c r="O257" s="2631"/>
      <c r="P257" s="2631"/>
      <c r="Q257" s="2631"/>
      <c r="R257" s="2631"/>
      <c r="S257" s="2631"/>
      <c r="T257" s="2631"/>
      <c r="U257" s="2660">
        <f t="shared" ref="U257:U258" si="61">U258</f>
        <v>1277.085</v>
      </c>
    </row>
    <row r="258" spans="1:21" x14ac:dyDescent="0.35">
      <c r="A258" s="1179"/>
      <c r="B258" s="753" t="s">
        <v>109</v>
      </c>
      <c r="C258" s="1180"/>
      <c r="D258" s="2750" t="s">
        <v>463</v>
      </c>
      <c r="E258" s="2750" t="s">
        <v>456</v>
      </c>
      <c r="F258" s="2750" t="s">
        <v>84</v>
      </c>
      <c r="G258" s="2751"/>
      <c r="H258" s="2660">
        <f t="shared" si="59"/>
        <v>1204.7970800000001</v>
      </c>
      <c r="I258" s="2661">
        <f t="shared" si="59"/>
        <v>0</v>
      </c>
      <c r="J258" s="2668">
        <f t="shared" si="59"/>
        <v>0</v>
      </c>
      <c r="K258" s="2631"/>
      <c r="L258" s="2631"/>
      <c r="M258" s="2631"/>
      <c r="N258" s="2663">
        <f t="shared" si="60"/>
        <v>1277.085</v>
      </c>
      <c r="O258" s="2631"/>
      <c r="P258" s="2631"/>
      <c r="Q258" s="2631"/>
      <c r="R258" s="2631"/>
      <c r="S258" s="2631"/>
      <c r="T258" s="2631"/>
      <c r="U258" s="2660">
        <f t="shared" si="61"/>
        <v>1277.085</v>
      </c>
    </row>
    <row r="259" spans="1:21" x14ac:dyDescent="0.35">
      <c r="A259" s="1179"/>
      <c r="B259" s="753" t="s">
        <v>109</v>
      </c>
      <c r="C259" s="1180"/>
      <c r="D259" s="2750" t="s">
        <v>463</v>
      </c>
      <c r="E259" s="2750" t="s">
        <v>456</v>
      </c>
      <c r="F259" s="2750" t="s">
        <v>82</v>
      </c>
      <c r="G259" s="2751"/>
      <c r="H259" s="2660">
        <f>H260+H262+H266+H264</f>
        <v>1204.7970800000001</v>
      </c>
      <c r="I259" s="2661">
        <f>I260+I262+I266</f>
        <v>0</v>
      </c>
      <c r="J259" s="2668">
        <f>J260+J262+J266</f>
        <v>0</v>
      </c>
      <c r="K259" s="2631"/>
      <c r="L259" s="2631"/>
      <c r="M259" s="2631"/>
      <c r="N259" s="2663">
        <f>N260+N262+N266</f>
        <v>1277.085</v>
      </c>
      <c r="O259" s="2631"/>
      <c r="P259" s="2631"/>
      <c r="Q259" s="2631"/>
      <c r="R259" s="2631"/>
      <c r="S259" s="2631"/>
      <c r="T259" s="2631"/>
      <c r="U259" s="2660">
        <f>U260+U262+U266</f>
        <v>1277.085</v>
      </c>
    </row>
    <row r="260" spans="1:21" hidden="1" x14ac:dyDescent="0.35">
      <c r="A260" s="842"/>
      <c r="B260" s="753" t="s">
        <v>533</v>
      </c>
      <c r="C260" s="409"/>
      <c r="D260" s="2750" t="s">
        <v>463</v>
      </c>
      <c r="E260" s="2750" t="s">
        <v>456</v>
      </c>
      <c r="F260" s="2750" t="s">
        <v>30</v>
      </c>
      <c r="G260" s="2751"/>
      <c r="H260" s="2660">
        <f>H261</f>
        <v>0</v>
      </c>
      <c r="I260" s="2661">
        <f>I261</f>
        <v>0</v>
      </c>
      <c r="J260" s="2668">
        <f>J261</f>
        <v>0</v>
      </c>
      <c r="K260" s="2631"/>
      <c r="L260" s="2631"/>
      <c r="M260" s="2631"/>
      <c r="N260" s="2663">
        <f>N261</f>
        <v>0</v>
      </c>
      <c r="O260" s="2631"/>
      <c r="P260" s="2631"/>
      <c r="Q260" s="2631"/>
      <c r="R260" s="2631"/>
      <c r="S260" s="2631"/>
      <c r="T260" s="2631"/>
      <c r="U260" s="2660">
        <f>U261</f>
        <v>0</v>
      </c>
    </row>
    <row r="261" spans="1:21" ht="21" hidden="1" x14ac:dyDescent="0.35">
      <c r="A261" s="1229"/>
      <c r="B261" s="1182" t="s">
        <v>454</v>
      </c>
      <c r="C261" s="409"/>
      <c r="D261" s="2757" t="s">
        <v>463</v>
      </c>
      <c r="E261" s="2757" t="s">
        <v>456</v>
      </c>
      <c r="F261" s="2750" t="s">
        <v>30</v>
      </c>
      <c r="G261" s="2751" t="s">
        <v>1</v>
      </c>
      <c r="H261" s="2660">
        <v>0</v>
      </c>
      <c r="I261" s="2661"/>
      <c r="J261" s="2662"/>
      <c r="K261" s="2631"/>
      <c r="L261" s="2631"/>
      <c r="M261" s="2631"/>
      <c r="N261" s="2663">
        <v>0</v>
      </c>
      <c r="O261" s="2631"/>
      <c r="P261" s="2631"/>
      <c r="Q261" s="2631"/>
      <c r="R261" s="2631"/>
      <c r="S261" s="2631"/>
      <c r="T261" s="2631"/>
      <c r="U261" s="2660">
        <v>0</v>
      </c>
    </row>
    <row r="262" spans="1:21" x14ac:dyDescent="0.35">
      <c r="A262" s="842"/>
      <c r="B262" s="753" t="s">
        <v>532</v>
      </c>
      <c r="C262" s="409"/>
      <c r="D262" s="2750" t="s">
        <v>463</v>
      </c>
      <c r="E262" s="2750" t="s">
        <v>456</v>
      </c>
      <c r="F262" s="2750" t="s">
        <v>531</v>
      </c>
      <c r="G262" s="2751"/>
      <c r="H262" s="2660">
        <f>H263</f>
        <v>54</v>
      </c>
      <c r="I262" s="2661">
        <f>I263</f>
        <v>0</v>
      </c>
      <c r="J262" s="2662">
        <f>J263</f>
        <v>0</v>
      </c>
      <c r="K262" s="2631"/>
      <c r="L262" s="2631"/>
      <c r="M262" s="2631"/>
      <c r="N262" s="2663">
        <f>N263</f>
        <v>60</v>
      </c>
      <c r="O262" s="2631"/>
      <c r="P262" s="2631"/>
      <c r="Q262" s="2631"/>
      <c r="R262" s="2631"/>
      <c r="S262" s="2631"/>
      <c r="T262" s="2631"/>
      <c r="U262" s="2660">
        <f>U263</f>
        <v>60</v>
      </c>
    </row>
    <row r="263" spans="1:21" ht="21" x14ac:dyDescent="0.35">
      <c r="A263" s="1229"/>
      <c r="B263" s="1182" t="s">
        <v>454</v>
      </c>
      <c r="C263" s="409"/>
      <c r="D263" s="2757" t="s">
        <v>463</v>
      </c>
      <c r="E263" s="2757" t="s">
        <v>456</v>
      </c>
      <c r="F263" s="2757" t="s">
        <v>531</v>
      </c>
      <c r="G263" s="2751" t="s">
        <v>1</v>
      </c>
      <c r="H263" s="2660">
        <v>54</v>
      </c>
      <c r="I263" s="2661"/>
      <c r="J263" s="2662"/>
      <c r="K263" s="2631"/>
      <c r="L263" s="2631"/>
      <c r="M263" s="2631"/>
      <c r="N263" s="2663">
        <v>60</v>
      </c>
      <c r="O263" s="2631"/>
      <c r="P263" s="2631"/>
      <c r="Q263" s="2631"/>
      <c r="R263" s="2631"/>
      <c r="S263" s="2631"/>
      <c r="T263" s="2631"/>
      <c r="U263" s="2660">
        <v>60</v>
      </c>
    </row>
    <row r="264" spans="1:21" ht="21" hidden="1" x14ac:dyDescent="0.35">
      <c r="A264" s="1229"/>
      <c r="B264" s="753" t="s">
        <v>1007</v>
      </c>
      <c r="C264" s="409"/>
      <c r="D264" s="2750" t="s">
        <v>463</v>
      </c>
      <c r="E264" s="2750" t="s">
        <v>456</v>
      </c>
      <c r="F264" s="2757" t="s">
        <v>30</v>
      </c>
      <c r="G264" s="2751"/>
      <c r="H264" s="2660">
        <f>H265</f>
        <v>0</v>
      </c>
      <c r="I264" s="2661"/>
      <c r="J264" s="2662"/>
      <c r="K264" s="2631"/>
      <c r="L264" s="2631"/>
      <c r="M264" s="2631"/>
      <c r="N264" s="2663"/>
      <c r="O264" s="2631"/>
      <c r="P264" s="2631"/>
      <c r="Q264" s="2631"/>
      <c r="R264" s="2631"/>
      <c r="S264" s="2631"/>
      <c r="T264" s="2631"/>
      <c r="U264" s="2660"/>
    </row>
    <row r="265" spans="1:21" ht="21" hidden="1" x14ac:dyDescent="0.35">
      <c r="A265" s="1229"/>
      <c r="B265" s="1182" t="s">
        <v>454</v>
      </c>
      <c r="C265" s="409"/>
      <c r="D265" s="2750" t="s">
        <v>463</v>
      </c>
      <c r="E265" s="2750" t="s">
        <v>456</v>
      </c>
      <c r="F265" s="2757" t="s">
        <v>30</v>
      </c>
      <c r="G265" s="2751" t="s">
        <v>1</v>
      </c>
      <c r="H265" s="2660"/>
      <c r="I265" s="2661"/>
      <c r="J265" s="2662"/>
      <c r="K265" s="2631"/>
      <c r="L265" s="2631"/>
      <c r="M265" s="2631"/>
      <c r="N265" s="2663"/>
      <c r="O265" s="2631"/>
      <c r="P265" s="2631"/>
      <c r="Q265" s="2631"/>
      <c r="R265" s="2631"/>
      <c r="S265" s="2631"/>
      <c r="T265" s="2631"/>
      <c r="U265" s="2660"/>
    </row>
    <row r="266" spans="1:21" x14ac:dyDescent="0.35">
      <c r="A266" s="842"/>
      <c r="B266" s="753" t="s">
        <v>12</v>
      </c>
      <c r="C266" s="409"/>
      <c r="D266" s="2750" t="s">
        <v>463</v>
      </c>
      <c r="E266" s="2750" t="s">
        <v>456</v>
      </c>
      <c r="F266" s="2750" t="s">
        <v>10</v>
      </c>
      <c r="G266" s="2751"/>
      <c r="H266" s="2660">
        <f>H268</f>
        <v>1150.7970800000001</v>
      </c>
      <c r="I266" s="2661">
        <f>I268</f>
        <v>0</v>
      </c>
      <c r="J266" s="2662">
        <f>J268</f>
        <v>0</v>
      </c>
      <c r="K266" s="2631"/>
      <c r="L266" s="2631"/>
      <c r="M266" s="2631"/>
      <c r="N266" s="2663">
        <f>N268</f>
        <v>1217.085</v>
      </c>
      <c r="O266" s="2631"/>
      <c r="P266" s="2631"/>
      <c r="Q266" s="2631"/>
      <c r="R266" s="2631"/>
      <c r="S266" s="2631"/>
      <c r="T266" s="2631"/>
      <c r="U266" s="2660">
        <f>U268</f>
        <v>1217.085</v>
      </c>
    </row>
    <row r="267" spans="1:21" ht="21" x14ac:dyDescent="0.35">
      <c r="A267" s="842"/>
      <c r="B267" s="753" t="s">
        <v>948</v>
      </c>
      <c r="C267" s="409"/>
      <c r="D267" s="2757" t="s">
        <v>463</v>
      </c>
      <c r="E267" s="2757" t="s">
        <v>456</v>
      </c>
      <c r="F267" s="2757" t="s">
        <v>10</v>
      </c>
      <c r="G267" s="2751" t="s">
        <v>955</v>
      </c>
      <c r="H267" s="2660">
        <f>H268</f>
        <v>1150.7970800000001</v>
      </c>
      <c r="I267" s="2661">
        <f t="shared" ref="I267:U267" si="62">I268</f>
        <v>0</v>
      </c>
      <c r="J267" s="2662">
        <f t="shared" si="62"/>
        <v>0</v>
      </c>
      <c r="K267" s="2631">
        <f t="shared" si="62"/>
        <v>0</v>
      </c>
      <c r="L267" s="2631">
        <f t="shared" si="62"/>
        <v>0</v>
      </c>
      <c r="M267" s="2631">
        <f t="shared" si="62"/>
        <v>0</v>
      </c>
      <c r="N267" s="2663">
        <f>N268</f>
        <v>1217.085</v>
      </c>
      <c r="O267" s="2631">
        <f t="shared" si="62"/>
        <v>0</v>
      </c>
      <c r="P267" s="2631">
        <f t="shared" si="62"/>
        <v>0</v>
      </c>
      <c r="Q267" s="2631">
        <f t="shared" si="62"/>
        <v>0</v>
      </c>
      <c r="R267" s="2631">
        <f t="shared" si="62"/>
        <v>0</v>
      </c>
      <c r="S267" s="2631">
        <f t="shared" si="62"/>
        <v>0</v>
      </c>
      <c r="T267" s="2631">
        <f t="shared" si="62"/>
        <v>0</v>
      </c>
      <c r="U267" s="2660">
        <f t="shared" si="62"/>
        <v>1217.085</v>
      </c>
    </row>
    <row r="268" spans="1:21" ht="21" x14ac:dyDescent="0.35">
      <c r="A268" s="1229"/>
      <c r="B268" s="1182" t="s">
        <v>454</v>
      </c>
      <c r="C268" s="409"/>
      <c r="D268" s="2757" t="s">
        <v>463</v>
      </c>
      <c r="E268" s="2757" t="s">
        <v>456</v>
      </c>
      <c r="F268" s="2757" t="s">
        <v>10</v>
      </c>
      <c r="G268" s="2751" t="s">
        <v>1</v>
      </c>
      <c r="H268" s="2660">
        <v>1150.7970800000001</v>
      </c>
      <c r="I268" s="2661"/>
      <c r="J268" s="2662"/>
      <c r="K268" s="2639"/>
      <c r="L268" s="2631"/>
      <c r="M268" s="2631"/>
      <c r="N268" s="2663">
        <v>1217.085</v>
      </c>
      <c r="O268" s="2631"/>
      <c r="P268" s="2631"/>
      <c r="Q268" s="2631"/>
      <c r="R268" s="2631"/>
      <c r="S268" s="2631"/>
      <c r="T268" s="2631"/>
      <c r="U268" s="2660">
        <v>1217.085</v>
      </c>
    </row>
    <row r="269" spans="1:21" x14ac:dyDescent="0.35">
      <c r="A269" s="1234"/>
      <c r="B269" s="1225" t="s">
        <v>530</v>
      </c>
      <c r="C269" s="1227"/>
      <c r="D269" s="2759" t="s">
        <v>463</v>
      </c>
      <c r="E269" s="2759" t="s">
        <v>488</v>
      </c>
      <c r="F269" s="2759"/>
      <c r="G269" s="2760"/>
      <c r="H269" s="2664">
        <f>H270+H280+H311</f>
        <v>7459.9035000000003</v>
      </c>
      <c r="I269" s="2665">
        <f>I270+I280+I293</f>
        <v>3670.8</v>
      </c>
      <c r="J269" s="2666">
        <f>J270+J280+J293</f>
        <v>4037.88</v>
      </c>
      <c r="K269" s="2631"/>
      <c r="L269" s="2631"/>
      <c r="M269" s="2631"/>
      <c r="N269" s="2667">
        <f>N270+N280</f>
        <v>4331.92</v>
      </c>
      <c r="O269" s="2631"/>
      <c r="P269" s="2631"/>
      <c r="Q269" s="2631"/>
      <c r="R269" s="2631"/>
      <c r="S269" s="2631"/>
      <c r="T269" s="2631"/>
      <c r="U269" s="2664">
        <f>U270+U280</f>
        <v>970</v>
      </c>
    </row>
    <row r="270" spans="1:21" ht="31.5" x14ac:dyDescent="0.35">
      <c r="A270" s="1234"/>
      <c r="B270" s="1238" t="s">
        <v>884</v>
      </c>
      <c r="C270" s="409"/>
      <c r="D270" s="2750" t="s">
        <v>463</v>
      </c>
      <c r="E270" s="2750" t="s">
        <v>488</v>
      </c>
      <c r="F270" s="2750" t="s">
        <v>196</v>
      </c>
      <c r="G270" s="2751"/>
      <c r="H270" s="2660">
        <f>H271</f>
        <v>6092.42</v>
      </c>
      <c r="I270" s="2661">
        <f t="shared" ref="I270:J271" si="63">I271</f>
        <v>0</v>
      </c>
      <c r="J270" s="2668">
        <f t="shared" si="63"/>
        <v>0</v>
      </c>
      <c r="K270" s="2639">
        <f>K274</f>
        <v>0</v>
      </c>
      <c r="L270" s="2631"/>
      <c r="M270" s="2631"/>
      <c r="N270" s="2663">
        <f>N274+N279</f>
        <v>2391.92</v>
      </c>
      <c r="O270" s="2631"/>
      <c r="P270" s="2631"/>
      <c r="Q270" s="2631"/>
      <c r="R270" s="2631"/>
      <c r="S270" s="2631"/>
      <c r="T270" s="2631"/>
      <c r="U270" s="2660">
        <f t="shared" ref="U270" si="64">U271</f>
        <v>0</v>
      </c>
    </row>
    <row r="271" spans="1:21" x14ac:dyDescent="0.35">
      <c r="A271" s="1234"/>
      <c r="B271" s="1203" t="s">
        <v>195</v>
      </c>
      <c r="C271" s="409"/>
      <c r="D271" s="2757" t="s">
        <v>463</v>
      </c>
      <c r="E271" s="2757" t="s">
        <v>488</v>
      </c>
      <c r="F271" s="2750" t="s">
        <v>194</v>
      </c>
      <c r="G271" s="2751"/>
      <c r="H271" s="2660">
        <f>H274+H276+H279</f>
        <v>6092.42</v>
      </c>
      <c r="I271" s="2661">
        <f t="shared" si="63"/>
        <v>0</v>
      </c>
      <c r="J271" s="2668">
        <f t="shared" si="63"/>
        <v>0</v>
      </c>
      <c r="K271" s="2631"/>
      <c r="L271" s="2631"/>
      <c r="M271" s="2631"/>
      <c r="N271" s="2663">
        <f t="shared" ref="N271" si="65">N272</f>
        <v>0</v>
      </c>
      <c r="O271" s="2631"/>
      <c r="P271" s="2631"/>
      <c r="Q271" s="2631"/>
      <c r="R271" s="2631"/>
      <c r="S271" s="2631"/>
      <c r="T271" s="2631"/>
      <c r="U271" s="2660">
        <f>U272+U279</f>
        <v>0</v>
      </c>
    </row>
    <row r="272" spans="1:21" ht="31.5" hidden="1" x14ac:dyDescent="0.35">
      <c r="A272" s="1234"/>
      <c r="B272" s="1239" t="s">
        <v>1191</v>
      </c>
      <c r="C272" s="1217"/>
      <c r="D272" s="2757" t="s">
        <v>463</v>
      </c>
      <c r="E272" s="2757" t="s">
        <v>488</v>
      </c>
      <c r="F272" s="2757" t="s">
        <v>191</v>
      </c>
      <c r="G272" s="2758"/>
      <c r="H272" s="2660">
        <f>H274+H276</f>
        <v>0</v>
      </c>
      <c r="I272" s="2661">
        <f>I274</f>
        <v>0</v>
      </c>
      <c r="J272" s="2668">
        <f>J274</f>
        <v>0</v>
      </c>
      <c r="K272" s="2631"/>
      <c r="L272" s="2631"/>
      <c r="M272" s="2631"/>
      <c r="N272" s="2663">
        <f>N274</f>
        <v>0</v>
      </c>
      <c r="O272" s="2631"/>
      <c r="P272" s="2631"/>
      <c r="Q272" s="2631"/>
      <c r="R272" s="2631"/>
      <c r="S272" s="2631"/>
      <c r="T272" s="2631"/>
      <c r="U272" s="2660">
        <f>U274</f>
        <v>0</v>
      </c>
    </row>
    <row r="273" spans="1:27" ht="21" hidden="1" x14ac:dyDescent="0.35">
      <c r="A273" s="1234"/>
      <c r="B273" s="753" t="s">
        <v>948</v>
      </c>
      <c r="C273" s="1217"/>
      <c r="D273" s="2757" t="s">
        <v>463</v>
      </c>
      <c r="E273" s="2757" t="s">
        <v>488</v>
      </c>
      <c r="F273" s="2757" t="s">
        <v>191</v>
      </c>
      <c r="G273" s="2758" t="s">
        <v>955</v>
      </c>
      <c r="H273" s="2660">
        <f t="shared" ref="H273:U273" si="66">H274</f>
        <v>0</v>
      </c>
      <c r="I273" s="2661">
        <f t="shared" si="66"/>
        <v>0</v>
      </c>
      <c r="J273" s="2669">
        <f t="shared" si="66"/>
        <v>0</v>
      </c>
      <c r="K273" s="2631">
        <f t="shared" si="66"/>
        <v>0</v>
      </c>
      <c r="L273" s="2631">
        <f t="shared" si="66"/>
        <v>0</v>
      </c>
      <c r="M273" s="2631">
        <f t="shared" si="66"/>
        <v>0</v>
      </c>
      <c r="N273" s="2663">
        <f t="shared" si="66"/>
        <v>0</v>
      </c>
      <c r="O273" s="2631">
        <f t="shared" si="66"/>
        <v>0</v>
      </c>
      <c r="P273" s="2631">
        <f t="shared" si="66"/>
        <v>0</v>
      </c>
      <c r="Q273" s="2631">
        <f t="shared" si="66"/>
        <v>0</v>
      </c>
      <c r="R273" s="2631">
        <f t="shared" si="66"/>
        <v>0</v>
      </c>
      <c r="S273" s="2631">
        <f t="shared" si="66"/>
        <v>0</v>
      </c>
      <c r="T273" s="2631">
        <f t="shared" si="66"/>
        <v>0</v>
      </c>
      <c r="U273" s="2660">
        <f t="shared" si="66"/>
        <v>0</v>
      </c>
    </row>
    <row r="274" spans="1:27" ht="21" hidden="1" x14ac:dyDescent="0.35">
      <c r="A274" s="1234"/>
      <c r="B274" s="1182" t="s">
        <v>454</v>
      </c>
      <c r="C274" s="409"/>
      <c r="D274" s="2757" t="s">
        <v>463</v>
      </c>
      <c r="E274" s="2757" t="s">
        <v>488</v>
      </c>
      <c r="F274" s="2757" t="s">
        <v>191</v>
      </c>
      <c r="G274" s="2751" t="s">
        <v>1</v>
      </c>
      <c r="H274" s="2660">
        <f>400-400</f>
        <v>0</v>
      </c>
      <c r="I274" s="2661"/>
      <c r="J274" s="2662"/>
      <c r="K274" s="2631"/>
      <c r="L274" s="2631"/>
      <c r="M274" s="2631"/>
      <c r="N274" s="2663">
        <v>0</v>
      </c>
      <c r="O274" s="2631"/>
      <c r="P274" s="2631"/>
      <c r="Q274" s="2631"/>
      <c r="R274" s="2631"/>
      <c r="S274" s="2631"/>
      <c r="T274" s="2631"/>
      <c r="U274" s="2660">
        <v>0</v>
      </c>
    </row>
    <row r="275" spans="1:27" ht="21" hidden="1" x14ac:dyDescent="0.35">
      <c r="A275" s="1234"/>
      <c r="B275" s="1242" t="s">
        <v>1061</v>
      </c>
      <c r="C275" s="409"/>
      <c r="D275" s="2757" t="s">
        <v>463</v>
      </c>
      <c r="E275" s="2757" t="s">
        <v>488</v>
      </c>
      <c r="F275" s="2757" t="s">
        <v>191</v>
      </c>
      <c r="G275" s="2751" t="s">
        <v>1060</v>
      </c>
      <c r="H275" s="2660">
        <f>H276</f>
        <v>0</v>
      </c>
      <c r="I275" s="2661"/>
      <c r="J275" s="2669"/>
      <c r="K275" s="2631"/>
      <c r="L275" s="2631"/>
      <c r="M275" s="2631"/>
      <c r="N275" s="2663">
        <v>0</v>
      </c>
      <c r="O275" s="2631"/>
      <c r="P275" s="2631"/>
      <c r="Q275" s="2631"/>
      <c r="R275" s="2631"/>
      <c r="S275" s="2631"/>
      <c r="T275" s="2631"/>
      <c r="U275" s="2660">
        <v>0</v>
      </c>
    </row>
    <row r="276" spans="1:27" hidden="1" x14ac:dyDescent="0.35">
      <c r="A276" s="1234"/>
      <c r="B276" s="1182" t="s">
        <v>481</v>
      </c>
      <c r="C276" s="409"/>
      <c r="D276" s="2757" t="s">
        <v>463</v>
      </c>
      <c r="E276" s="2757" t="s">
        <v>488</v>
      </c>
      <c r="F276" s="2757" t="s">
        <v>191</v>
      </c>
      <c r="G276" s="2751" t="s">
        <v>26</v>
      </c>
      <c r="H276" s="2660">
        <v>0</v>
      </c>
      <c r="I276" s="2661"/>
      <c r="J276" s="2669"/>
      <c r="K276" s="2631"/>
      <c r="L276" s="2631"/>
      <c r="M276" s="2631"/>
      <c r="N276" s="2663">
        <v>0</v>
      </c>
      <c r="O276" s="2631"/>
      <c r="P276" s="2631"/>
      <c r="Q276" s="2631"/>
      <c r="R276" s="2631"/>
      <c r="S276" s="2631"/>
      <c r="T276" s="2631"/>
      <c r="U276" s="2660">
        <v>0</v>
      </c>
    </row>
    <row r="277" spans="1:27" ht="21.65" customHeight="1" x14ac:dyDescent="0.35">
      <c r="A277" s="1234"/>
      <c r="B277" s="1242" t="s">
        <v>193</v>
      </c>
      <c r="C277" s="409"/>
      <c r="D277" s="2757" t="s">
        <v>463</v>
      </c>
      <c r="E277" s="2757" t="s">
        <v>488</v>
      </c>
      <c r="F277" s="2757" t="s">
        <v>1008</v>
      </c>
      <c r="G277" s="2751"/>
      <c r="H277" s="2660">
        <f>H279</f>
        <v>6092.42</v>
      </c>
      <c r="I277" s="2661"/>
      <c r="J277" s="2669"/>
      <c r="K277" s="2631"/>
      <c r="L277" s="2631"/>
      <c r="M277" s="2631"/>
      <c r="N277" s="2663">
        <f>N279</f>
        <v>2391.92</v>
      </c>
      <c r="O277" s="2631"/>
      <c r="P277" s="2631"/>
      <c r="Q277" s="2631"/>
      <c r="R277" s="2631"/>
      <c r="S277" s="2631"/>
      <c r="T277" s="2631"/>
      <c r="U277" s="2660">
        <f>U279</f>
        <v>0</v>
      </c>
    </row>
    <row r="278" spans="1:27" ht="14.5" customHeight="1" x14ac:dyDescent="0.35">
      <c r="A278" s="1234"/>
      <c r="B278" s="1242" t="s">
        <v>1061</v>
      </c>
      <c r="C278" s="409"/>
      <c r="D278" s="2757" t="s">
        <v>463</v>
      </c>
      <c r="E278" s="2757" t="s">
        <v>488</v>
      </c>
      <c r="F278" s="2757" t="s">
        <v>1008</v>
      </c>
      <c r="G278" s="2751" t="s">
        <v>1060</v>
      </c>
      <c r="H278" s="2660">
        <f t="shared" ref="H278:U278" si="67">H279</f>
        <v>6092.42</v>
      </c>
      <c r="I278" s="2661">
        <f t="shared" si="67"/>
        <v>0</v>
      </c>
      <c r="J278" s="2669">
        <f t="shared" si="67"/>
        <v>0</v>
      </c>
      <c r="K278" s="2631">
        <f t="shared" si="67"/>
        <v>0</v>
      </c>
      <c r="L278" s="2631">
        <f t="shared" si="67"/>
        <v>0</v>
      </c>
      <c r="M278" s="2631">
        <f t="shared" si="67"/>
        <v>0</v>
      </c>
      <c r="N278" s="2663">
        <f t="shared" si="67"/>
        <v>2391.92</v>
      </c>
      <c r="O278" s="2631">
        <f t="shared" si="67"/>
        <v>0</v>
      </c>
      <c r="P278" s="2631">
        <f t="shared" si="67"/>
        <v>0</v>
      </c>
      <c r="Q278" s="2631">
        <f t="shared" si="67"/>
        <v>0</v>
      </c>
      <c r="R278" s="2631">
        <f t="shared" si="67"/>
        <v>0</v>
      </c>
      <c r="S278" s="2631">
        <f t="shared" si="67"/>
        <v>0</v>
      </c>
      <c r="T278" s="2631">
        <f t="shared" si="67"/>
        <v>0</v>
      </c>
      <c r="U278" s="2660">
        <f t="shared" si="67"/>
        <v>0</v>
      </c>
    </row>
    <row r="279" spans="1:27" x14ac:dyDescent="0.35">
      <c r="A279" s="1234"/>
      <c r="B279" s="1182" t="s">
        <v>481</v>
      </c>
      <c r="C279" s="409"/>
      <c r="D279" s="2757" t="s">
        <v>463</v>
      </c>
      <c r="E279" s="2757" t="s">
        <v>488</v>
      </c>
      <c r="F279" s="2757" t="s">
        <v>1008</v>
      </c>
      <c r="G279" s="2751" t="s">
        <v>26</v>
      </c>
      <c r="H279" s="2660">
        <v>6092.42</v>
      </c>
      <c r="I279" s="2661"/>
      <c r="J279" s="2669"/>
      <c r="K279" s="2631"/>
      <c r="L279" s="2631"/>
      <c r="M279" s="2631"/>
      <c r="N279" s="2663">
        <v>2391.92</v>
      </c>
      <c r="O279" s="2631"/>
      <c r="P279" s="2631"/>
      <c r="Q279" s="2631"/>
      <c r="R279" s="2631"/>
      <c r="S279" s="2631"/>
      <c r="T279" s="2631"/>
      <c r="U279" s="2660">
        <v>0</v>
      </c>
      <c r="AA279" s="1">
        <f>95+5</f>
        <v>100</v>
      </c>
    </row>
    <row r="280" spans="1:27" ht="45.65" customHeight="1" x14ac:dyDescent="0.35">
      <c r="A280" s="1179"/>
      <c r="B280" s="1203" t="s">
        <v>928</v>
      </c>
      <c r="C280" s="409"/>
      <c r="D280" s="2750" t="s">
        <v>463</v>
      </c>
      <c r="E280" s="2750" t="s">
        <v>488</v>
      </c>
      <c r="F280" s="2750" t="s">
        <v>181</v>
      </c>
      <c r="G280" s="2751"/>
      <c r="H280" s="2660">
        <f>H284+H292+H286+H283+H293</f>
        <v>1367.4835</v>
      </c>
      <c r="I280" s="2661">
        <f>I281</f>
        <v>3670.8</v>
      </c>
      <c r="J280" s="2668">
        <f>J281</f>
        <v>4037.88</v>
      </c>
      <c r="K280" s="2631"/>
      <c r="L280" s="2631"/>
      <c r="M280" s="2631"/>
      <c r="N280" s="2663">
        <f>N290+N292+N296</f>
        <v>1940</v>
      </c>
      <c r="O280" s="2631"/>
      <c r="P280" s="2631"/>
      <c r="Q280" s="2631"/>
      <c r="R280" s="2631"/>
      <c r="S280" s="2631"/>
      <c r="T280" s="2631"/>
      <c r="U280" s="2660">
        <f>U290+U292+U296</f>
        <v>970</v>
      </c>
    </row>
    <row r="281" spans="1:27" ht="31.5" hidden="1" x14ac:dyDescent="0.35">
      <c r="A281" s="1240"/>
      <c r="B281" s="1197" t="s">
        <v>180</v>
      </c>
      <c r="C281" s="1217"/>
      <c r="D281" s="2757" t="s">
        <v>463</v>
      </c>
      <c r="E281" s="2757" t="s">
        <v>488</v>
      </c>
      <c r="F281" s="2757" t="s">
        <v>179</v>
      </c>
      <c r="G281" s="2758"/>
      <c r="H281" s="2660">
        <f>H282</f>
        <v>0</v>
      </c>
      <c r="I281" s="2661">
        <f>I282</f>
        <v>3670.8</v>
      </c>
      <c r="J281" s="2668">
        <f>J282</f>
        <v>4037.88</v>
      </c>
      <c r="K281" s="2639">
        <f>K284</f>
        <v>7000</v>
      </c>
      <c r="L281" s="2631"/>
      <c r="M281" s="2631"/>
      <c r="N281" s="2663">
        <f>N282</f>
        <v>0</v>
      </c>
      <c r="O281" s="2631"/>
      <c r="P281" s="2631"/>
      <c r="Q281" s="2631"/>
      <c r="R281" s="2631"/>
      <c r="S281" s="2631"/>
      <c r="T281" s="2631"/>
      <c r="U281" s="2660">
        <f>U282</f>
        <v>0</v>
      </c>
    </row>
    <row r="282" spans="1:27" ht="30" hidden="1" customHeight="1" x14ac:dyDescent="0.35">
      <c r="A282" s="1240"/>
      <c r="B282" s="1197" t="s">
        <v>23</v>
      </c>
      <c r="C282" s="1217"/>
      <c r="D282" s="2757" t="s">
        <v>463</v>
      </c>
      <c r="E282" s="2757" t="s">
        <v>488</v>
      </c>
      <c r="F282" s="2757" t="s">
        <v>178</v>
      </c>
      <c r="G282" s="2758"/>
      <c r="H282" s="2660">
        <f>H283</f>
        <v>0</v>
      </c>
      <c r="I282" s="2661">
        <f>I284+I285</f>
        <v>3670.8</v>
      </c>
      <c r="J282" s="2668">
        <f>J284+J285</f>
        <v>4037.88</v>
      </c>
      <c r="K282" s="2631"/>
      <c r="L282" s="2631"/>
      <c r="M282" s="2631"/>
      <c r="N282" s="2663">
        <f>N284+N285</f>
        <v>0</v>
      </c>
      <c r="O282" s="2631"/>
      <c r="P282" s="2631"/>
      <c r="Q282" s="2631"/>
      <c r="R282" s="2631"/>
      <c r="S282" s="2631"/>
      <c r="T282" s="2631"/>
      <c r="U282" s="2660">
        <f>U284+U285</f>
        <v>0</v>
      </c>
    </row>
    <row r="283" spans="1:27" ht="30" hidden="1" customHeight="1" x14ac:dyDescent="0.35">
      <c r="A283" s="1240"/>
      <c r="B283" s="1182" t="s">
        <v>454</v>
      </c>
      <c r="C283" s="409"/>
      <c r="D283" s="2757" t="s">
        <v>463</v>
      </c>
      <c r="E283" s="2757" t="s">
        <v>488</v>
      </c>
      <c r="F283" s="2757" t="s">
        <v>178</v>
      </c>
      <c r="G283" s="2751" t="s">
        <v>1</v>
      </c>
      <c r="H283" s="2660"/>
      <c r="I283" s="2661"/>
      <c r="J283" s="2669"/>
      <c r="K283" s="2631"/>
      <c r="L283" s="2631"/>
      <c r="M283" s="2631"/>
      <c r="N283" s="2663"/>
      <c r="O283" s="2631"/>
      <c r="P283" s="2631"/>
      <c r="Q283" s="2631"/>
      <c r="R283" s="2631"/>
      <c r="S283" s="2631"/>
      <c r="T283" s="2631"/>
      <c r="U283" s="2660"/>
    </row>
    <row r="284" spans="1:27" hidden="1" x14ac:dyDescent="0.35">
      <c r="A284" s="1229"/>
      <c r="B284" s="1182" t="s">
        <v>481</v>
      </c>
      <c r="C284" s="1217"/>
      <c r="D284" s="2757" t="s">
        <v>463</v>
      </c>
      <c r="E284" s="2757" t="s">
        <v>488</v>
      </c>
      <c r="F284" s="2757" t="s">
        <v>178</v>
      </c>
      <c r="G284" s="2751" t="s">
        <v>26</v>
      </c>
      <c r="H284" s="2678">
        <f>200.001-75.7-124.301</f>
        <v>0</v>
      </c>
      <c r="I284" s="2661">
        <v>3670.8</v>
      </c>
      <c r="J284" s="2662">
        <v>4037.88</v>
      </c>
      <c r="K284" s="2631">
        <v>7000</v>
      </c>
      <c r="L284" s="2631"/>
      <c r="M284" s="2631"/>
      <c r="N284" s="2663"/>
      <c r="O284" s="2631"/>
      <c r="P284" s="2631"/>
      <c r="Q284" s="2631"/>
      <c r="R284" s="2631"/>
      <c r="S284" s="2631"/>
      <c r="T284" s="2631"/>
      <c r="U284" s="2660"/>
    </row>
    <row r="285" spans="1:27" hidden="1" x14ac:dyDescent="0.35">
      <c r="A285" s="1229"/>
      <c r="B285" s="753" t="s">
        <v>528</v>
      </c>
      <c r="C285" s="1217"/>
      <c r="D285" s="2757" t="s">
        <v>463</v>
      </c>
      <c r="E285" s="2757" t="s">
        <v>488</v>
      </c>
      <c r="F285" s="2757" t="s">
        <v>527</v>
      </c>
      <c r="G285" s="2758"/>
      <c r="H285" s="2660">
        <f>H286</f>
        <v>0</v>
      </c>
      <c r="I285" s="2661">
        <f>I286</f>
        <v>0</v>
      </c>
      <c r="J285" s="2662">
        <f>J286</f>
        <v>0</v>
      </c>
      <c r="K285" s="2631"/>
      <c r="L285" s="2631"/>
      <c r="M285" s="2631"/>
      <c r="N285" s="2663">
        <f>N286</f>
        <v>0</v>
      </c>
      <c r="O285" s="2631"/>
      <c r="P285" s="2631"/>
      <c r="Q285" s="2631"/>
      <c r="R285" s="2631"/>
      <c r="S285" s="2631"/>
      <c r="T285" s="2631"/>
      <c r="U285" s="2660">
        <f>U286</f>
        <v>0</v>
      </c>
    </row>
    <row r="286" spans="1:27" ht="21" hidden="1" x14ac:dyDescent="0.35">
      <c r="A286" s="1229"/>
      <c r="B286" s="1182" t="s">
        <v>454</v>
      </c>
      <c r="C286" s="409"/>
      <c r="D286" s="2757" t="s">
        <v>463</v>
      </c>
      <c r="E286" s="2757" t="s">
        <v>488</v>
      </c>
      <c r="F286" s="2757" t="s">
        <v>178</v>
      </c>
      <c r="G286" s="2751" t="s">
        <v>1</v>
      </c>
      <c r="H286" s="2660"/>
      <c r="I286" s="2661"/>
      <c r="J286" s="2662"/>
      <c r="K286" s="2631"/>
      <c r="L286" s="2631"/>
      <c r="M286" s="2631"/>
      <c r="N286" s="2663"/>
      <c r="O286" s="2631"/>
      <c r="P286" s="2631"/>
      <c r="Q286" s="2631"/>
      <c r="R286" s="2631"/>
      <c r="S286" s="2631"/>
      <c r="T286" s="2631"/>
      <c r="U286" s="2660"/>
    </row>
    <row r="287" spans="1:27" ht="21" x14ac:dyDescent="0.35">
      <c r="A287" s="1229"/>
      <c r="B287" s="1197" t="s">
        <v>1009</v>
      </c>
      <c r="C287" s="409"/>
      <c r="D287" s="2757" t="s">
        <v>463</v>
      </c>
      <c r="E287" s="2757" t="s">
        <v>488</v>
      </c>
      <c r="F287" s="2757" t="s">
        <v>1010</v>
      </c>
      <c r="G287" s="2751"/>
      <c r="H287" s="2660">
        <f>H288</f>
        <v>1367.4835</v>
      </c>
      <c r="I287" s="2661"/>
      <c r="J287" s="2669"/>
      <c r="K287" s="2631"/>
      <c r="L287" s="2631"/>
      <c r="M287" s="2631"/>
      <c r="N287" s="2663">
        <f>N288</f>
        <v>1940</v>
      </c>
      <c r="O287" s="2631"/>
      <c r="P287" s="2631"/>
      <c r="Q287" s="2631"/>
      <c r="R287" s="2631"/>
      <c r="S287" s="2631"/>
      <c r="T287" s="2631"/>
      <c r="U287" s="2660">
        <f>U288</f>
        <v>970</v>
      </c>
    </row>
    <row r="288" spans="1:27" ht="21" customHeight="1" x14ac:dyDescent="0.35">
      <c r="A288" s="1229"/>
      <c r="B288" s="1868" t="s">
        <v>1011</v>
      </c>
      <c r="C288" s="409"/>
      <c r="D288" s="2757" t="s">
        <v>463</v>
      </c>
      <c r="E288" s="2757" t="s">
        <v>488</v>
      </c>
      <c r="F288" s="2762" t="s">
        <v>1012</v>
      </c>
      <c r="G288" s="2751"/>
      <c r="H288" s="2660">
        <f>H292+H290</f>
        <v>1367.4835</v>
      </c>
      <c r="I288" s="2661"/>
      <c r="J288" s="2669"/>
      <c r="K288" s="2631"/>
      <c r="L288" s="2631"/>
      <c r="M288" s="2631"/>
      <c r="N288" s="2663">
        <f>N292+N290</f>
        <v>1940</v>
      </c>
      <c r="O288" s="2631"/>
      <c r="P288" s="2631"/>
      <c r="Q288" s="2631"/>
      <c r="R288" s="2631"/>
      <c r="S288" s="2631"/>
      <c r="T288" s="2631"/>
      <c r="U288" s="2660">
        <f>U292+U290</f>
        <v>970</v>
      </c>
    </row>
    <row r="289" spans="1:21" ht="21" hidden="1" customHeight="1" x14ac:dyDescent="0.35">
      <c r="A289" s="1229"/>
      <c r="B289" s="1242" t="s">
        <v>948</v>
      </c>
      <c r="C289" s="409"/>
      <c r="D289" s="2757" t="s">
        <v>463</v>
      </c>
      <c r="E289" s="2757" t="s">
        <v>488</v>
      </c>
      <c r="F289" s="2762" t="s">
        <v>1012</v>
      </c>
      <c r="G289" s="2751" t="s">
        <v>955</v>
      </c>
      <c r="H289" s="2660">
        <f t="shared" ref="H289:U289" si="68">H290</f>
        <v>0</v>
      </c>
      <c r="I289" s="2661">
        <f t="shared" si="68"/>
        <v>0</v>
      </c>
      <c r="J289" s="2669">
        <f t="shared" si="68"/>
        <v>0</v>
      </c>
      <c r="K289" s="2631">
        <f t="shared" si="68"/>
        <v>0</v>
      </c>
      <c r="L289" s="2631">
        <f t="shared" si="68"/>
        <v>0</v>
      </c>
      <c r="M289" s="2631">
        <f t="shared" si="68"/>
        <v>0</v>
      </c>
      <c r="N289" s="2663">
        <f t="shared" si="68"/>
        <v>0</v>
      </c>
      <c r="O289" s="2631">
        <f t="shared" si="68"/>
        <v>0</v>
      </c>
      <c r="P289" s="2631">
        <f t="shared" si="68"/>
        <v>0</v>
      </c>
      <c r="Q289" s="2631">
        <f t="shared" si="68"/>
        <v>0</v>
      </c>
      <c r="R289" s="2631">
        <f t="shared" si="68"/>
        <v>0</v>
      </c>
      <c r="S289" s="2631">
        <f t="shared" si="68"/>
        <v>0</v>
      </c>
      <c r="T289" s="2631">
        <f t="shared" si="68"/>
        <v>0</v>
      </c>
      <c r="U289" s="2660">
        <f t="shared" si="68"/>
        <v>0</v>
      </c>
    </row>
    <row r="290" spans="1:21" ht="21" hidden="1" customHeight="1" x14ac:dyDescent="0.35">
      <c r="A290" s="1229"/>
      <c r="B290" s="1242" t="s">
        <v>454</v>
      </c>
      <c r="C290" s="409"/>
      <c r="D290" s="2757" t="s">
        <v>463</v>
      </c>
      <c r="E290" s="2757" t="s">
        <v>488</v>
      </c>
      <c r="F290" s="2762" t="s">
        <v>1012</v>
      </c>
      <c r="G290" s="2751" t="s">
        <v>1</v>
      </c>
      <c r="H290" s="2660">
        <v>0</v>
      </c>
      <c r="I290" s="2661"/>
      <c r="J290" s="2669"/>
      <c r="K290" s="2631"/>
      <c r="L290" s="2631"/>
      <c r="M290" s="2631"/>
      <c r="N290" s="2663">
        <v>0</v>
      </c>
      <c r="O290" s="2631"/>
      <c r="P290" s="2631"/>
      <c r="Q290" s="2631"/>
      <c r="R290" s="2631"/>
      <c r="S290" s="2631"/>
      <c r="T290" s="2631"/>
      <c r="U290" s="2660">
        <v>0</v>
      </c>
    </row>
    <row r="291" spans="1:21" ht="21" customHeight="1" x14ac:dyDescent="0.35">
      <c r="A291" s="1229"/>
      <c r="B291" s="1242" t="s">
        <v>1068</v>
      </c>
      <c r="C291" s="409"/>
      <c r="D291" s="2757" t="s">
        <v>463</v>
      </c>
      <c r="E291" s="2757" t="s">
        <v>488</v>
      </c>
      <c r="F291" s="2762" t="s">
        <v>1012</v>
      </c>
      <c r="G291" s="2751" t="s">
        <v>1064</v>
      </c>
      <c r="H291" s="2660">
        <f t="shared" ref="H291:U291" si="69">H292</f>
        <v>1367.4835</v>
      </c>
      <c r="I291" s="2661">
        <f t="shared" si="69"/>
        <v>0</v>
      </c>
      <c r="J291" s="2669">
        <f t="shared" si="69"/>
        <v>0</v>
      </c>
      <c r="K291" s="2631">
        <f t="shared" si="69"/>
        <v>0</v>
      </c>
      <c r="L291" s="2631">
        <f t="shared" si="69"/>
        <v>0</v>
      </c>
      <c r="M291" s="2631">
        <f t="shared" si="69"/>
        <v>0</v>
      </c>
      <c r="N291" s="2663">
        <f t="shared" si="69"/>
        <v>1940</v>
      </c>
      <c r="O291" s="2631">
        <f t="shared" si="69"/>
        <v>0</v>
      </c>
      <c r="P291" s="2631">
        <f t="shared" si="69"/>
        <v>0</v>
      </c>
      <c r="Q291" s="2631">
        <f t="shared" si="69"/>
        <v>0</v>
      </c>
      <c r="R291" s="2631">
        <f t="shared" si="69"/>
        <v>0</v>
      </c>
      <c r="S291" s="2631">
        <f t="shared" si="69"/>
        <v>0</v>
      </c>
      <c r="T291" s="2631">
        <f t="shared" si="69"/>
        <v>0</v>
      </c>
      <c r="U291" s="2660">
        <f t="shared" si="69"/>
        <v>970</v>
      </c>
    </row>
    <row r="292" spans="1:21" ht="21" x14ac:dyDescent="0.35">
      <c r="A292" s="1229"/>
      <c r="B292" s="1242" t="s">
        <v>523</v>
      </c>
      <c r="C292" s="409"/>
      <c r="D292" s="2757" t="s">
        <v>463</v>
      </c>
      <c r="E292" s="2757" t="s">
        <v>488</v>
      </c>
      <c r="F292" s="2762" t="s">
        <v>1012</v>
      </c>
      <c r="G292" s="2751" t="s">
        <v>521</v>
      </c>
      <c r="H292" s="2660">
        <f>490+877.4835</f>
        <v>1367.4835</v>
      </c>
      <c r="I292" s="2661"/>
      <c r="J292" s="2669"/>
      <c r="K292" s="2631"/>
      <c r="L292" s="2631"/>
      <c r="M292" s="2631"/>
      <c r="N292" s="2663">
        <f>540+1400</f>
        <v>1940</v>
      </c>
      <c r="O292" s="2631"/>
      <c r="P292" s="2631"/>
      <c r="Q292" s="2631"/>
      <c r="R292" s="2631"/>
      <c r="S292" s="2631"/>
      <c r="T292" s="2631"/>
      <c r="U292" s="2660">
        <f>570+400</f>
        <v>970</v>
      </c>
    </row>
    <row r="293" spans="1:21" ht="27.75" hidden="1" customHeight="1" x14ac:dyDescent="0.35">
      <c r="A293" s="1240"/>
      <c r="B293" s="1197" t="s">
        <v>1162</v>
      </c>
      <c r="C293" s="1217"/>
      <c r="D293" s="2757" t="s">
        <v>463</v>
      </c>
      <c r="E293" s="2757" t="s">
        <v>488</v>
      </c>
      <c r="F293" s="2757" t="s">
        <v>1160</v>
      </c>
      <c r="G293" s="2758"/>
      <c r="H293" s="2660">
        <f>H294</f>
        <v>0</v>
      </c>
      <c r="I293" s="2661">
        <f>I294</f>
        <v>0</v>
      </c>
      <c r="J293" s="2668">
        <f>J294</f>
        <v>0</v>
      </c>
      <c r="K293" s="2631"/>
      <c r="L293" s="2631"/>
      <c r="M293" s="2631"/>
      <c r="N293" s="2663">
        <f>N294</f>
        <v>0</v>
      </c>
      <c r="O293" s="2631"/>
      <c r="P293" s="2631"/>
      <c r="Q293" s="2631"/>
      <c r="R293" s="2631"/>
      <c r="S293" s="2631"/>
      <c r="T293" s="2631"/>
      <c r="U293" s="2660">
        <f>U294</f>
        <v>0</v>
      </c>
    </row>
    <row r="294" spans="1:21" ht="21" hidden="1" x14ac:dyDescent="0.35">
      <c r="A294" s="1240"/>
      <c r="B294" s="1180" t="s">
        <v>1163</v>
      </c>
      <c r="C294" s="1217"/>
      <c r="D294" s="2757" t="s">
        <v>463</v>
      </c>
      <c r="E294" s="2757" t="s">
        <v>488</v>
      </c>
      <c r="F294" s="2762" t="s">
        <v>1161</v>
      </c>
      <c r="G294" s="2758"/>
      <c r="H294" s="2660">
        <f>H295</f>
        <v>0</v>
      </c>
      <c r="I294" s="2661">
        <f t="shared" ref="I294:J296" si="70">I295</f>
        <v>0</v>
      </c>
      <c r="J294" s="2668">
        <f t="shared" si="70"/>
        <v>0</v>
      </c>
      <c r="K294" s="2631"/>
      <c r="L294" s="2631"/>
      <c r="M294" s="2631"/>
      <c r="N294" s="2663">
        <f>N295</f>
        <v>0</v>
      </c>
      <c r="O294" s="2631"/>
      <c r="P294" s="2631"/>
      <c r="Q294" s="2631"/>
      <c r="R294" s="2631"/>
      <c r="S294" s="2631"/>
      <c r="T294" s="2631"/>
      <c r="U294" s="2660">
        <f>U295</f>
        <v>0</v>
      </c>
    </row>
    <row r="295" spans="1:21" hidden="1" x14ac:dyDescent="0.35">
      <c r="A295" s="1229"/>
      <c r="B295" s="753" t="s">
        <v>1068</v>
      </c>
      <c r="C295" s="1217"/>
      <c r="D295" s="2757" t="s">
        <v>463</v>
      </c>
      <c r="E295" s="2757" t="s">
        <v>488</v>
      </c>
      <c r="F295" s="2762" t="s">
        <v>1161</v>
      </c>
      <c r="G295" s="2758" t="s">
        <v>1064</v>
      </c>
      <c r="H295" s="2660">
        <f>H296</f>
        <v>0</v>
      </c>
      <c r="I295" s="2661">
        <f t="shared" si="70"/>
        <v>0</v>
      </c>
      <c r="J295" s="2668">
        <f t="shared" si="70"/>
        <v>0</v>
      </c>
      <c r="K295" s="2631"/>
      <c r="L295" s="2631"/>
      <c r="M295" s="2631"/>
      <c r="N295" s="2663">
        <f>N296</f>
        <v>0</v>
      </c>
      <c r="O295" s="2631"/>
      <c r="P295" s="2631"/>
      <c r="Q295" s="2631"/>
      <c r="R295" s="2631"/>
      <c r="S295" s="2631"/>
      <c r="T295" s="2631"/>
      <c r="U295" s="2660">
        <f>U296</f>
        <v>0</v>
      </c>
    </row>
    <row r="296" spans="1:21" ht="21" hidden="1" x14ac:dyDescent="0.35">
      <c r="A296" s="1234"/>
      <c r="B296" s="1242" t="s">
        <v>523</v>
      </c>
      <c r="C296" s="409"/>
      <c r="D296" s="2757" t="s">
        <v>463</v>
      </c>
      <c r="E296" s="2757" t="s">
        <v>488</v>
      </c>
      <c r="F296" s="2762" t="s">
        <v>1161</v>
      </c>
      <c r="G296" s="2758" t="s">
        <v>521</v>
      </c>
      <c r="H296" s="2660">
        <v>0</v>
      </c>
      <c r="I296" s="2661">
        <f t="shared" si="70"/>
        <v>0</v>
      </c>
      <c r="J296" s="2668">
        <f t="shared" si="70"/>
        <v>0</v>
      </c>
      <c r="K296" s="2631"/>
      <c r="L296" s="2631"/>
      <c r="M296" s="2631"/>
      <c r="N296" s="2663">
        <v>0</v>
      </c>
      <c r="O296" s="2631"/>
      <c r="P296" s="2631"/>
      <c r="Q296" s="2631"/>
      <c r="R296" s="2631"/>
      <c r="S296" s="2631"/>
      <c r="T296" s="2631"/>
      <c r="U296" s="2660">
        <v>0</v>
      </c>
    </row>
    <row r="297" spans="1:21" hidden="1" x14ac:dyDescent="0.35">
      <c r="A297" s="1234"/>
      <c r="B297" s="1242" t="s">
        <v>481</v>
      </c>
      <c r="C297" s="1217"/>
      <c r="D297" s="2757" t="s">
        <v>463</v>
      </c>
      <c r="E297" s="2757" t="s">
        <v>488</v>
      </c>
      <c r="F297" s="2750" t="s">
        <v>524</v>
      </c>
      <c r="G297" s="2751" t="s">
        <v>26</v>
      </c>
      <c r="H297" s="2660">
        <f>4900-4900</f>
        <v>0</v>
      </c>
      <c r="I297" s="2661"/>
      <c r="J297" s="2662"/>
      <c r="K297" s="2631"/>
      <c r="L297" s="2631"/>
      <c r="M297" s="2631"/>
      <c r="N297" s="2663"/>
      <c r="O297" s="2631"/>
      <c r="P297" s="2631"/>
      <c r="Q297" s="2631"/>
      <c r="R297" s="2631"/>
      <c r="S297" s="2631"/>
      <c r="T297" s="2631"/>
      <c r="U297" s="2660"/>
    </row>
    <row r="298" spans="1:21" ht="31.5" hidden="1" x14ac:dyDescent="0.35">
      <c r="A298" s="1234"/>
      <c r="B298" s="1242" t="s">
        <v>929</v>
      </c>
      <c r="C298" s="409"/>
      <c r="D298" s="2757" t="s">
        <v>463</v>
      </c>
      <c r="E298" s="2757" t="s">
        <v>488</v>
      </c>
      <c r="F298" s="2757" t="s">
        <v>89</v>
      </c>
      <c r="G298" s="2751"/>
      <c r="H298" s="2660">
        <f>H299</f>
        <v>0</v>
      </c>
      <c r="I298" s="2661"/>
      <c r="J298" s="2662"/>
      <c r="K298" s="2631"/>
      <c r="L298" s="2631"/>
      <c r="M298" s="2631"/>
      <c r="N298" s="2663"/>
      <c r="O298" s="2631"/>
      <c r="P298" s="2631"/>
      <c r="Q298" s="2631"/>
      <c r="R298" s="2631"/>
      <c r="S298" s="2631"/>
      <c r="T298" s="2631"/>
      <c r="U298" s="2660"/>
    </row>
    <row r="299" spans="1:21" hidden="1" x14ac:dyDescent="0.35">
      <c r="A299" s="1234"/>
      <c r="B299" s="1242" t="s">
        <v>109</v>
      </c>
      <c r="C299" s="409"/>
      <c r="D299" s="2757" t="s">
        <v>463</v>
      </c>
      <c r="E299" s="2757" t="s">
        <v>488</v>
      </c>
      <c r="F299" s="2757" t="s">
        <v>84</v>
      </c>
      <c r="G299" s="2751"/>
      <c r="H299" s="2660">
        <f>H300</f>
        <v>0</v>
      </c>
      <c r="I299" s="2661"/>
      <c r="J299" s="2662"/>
      <c r="K299" s="2631"/>
      <c r="L299" s="2631"/>
      <c r="M299" s="2631"/>
      <c r="N299" s="2663"/>
      <c r="O299" s="2631"/>
      <c r="P299" s="2631"/>
      <c r="Q299" s="2631"/>
      <c r="R299" s="2631"/>
      <c r="S299" s="2631"/>
      <c r="T299" s="2631"/>
      <c r="U299" s="2660"/>
    </row>
    <row r="300" spans="1:21" hidden="1" x14ac:dyDescent="0.35">
      <c r="A300" s="1234"/>
      <c r="B300" s="1242" t="s">
        <v>109</v>
      </c>
      <c r="C300" s="409"/>
      <c r="D300" s="2757" t="s">
        <v>463</v>
      </c>
      <c r="E300" s="2757" t="s">
        <v>488</v>
      </c>
      <c r="F300" s="2757" t="s">
        <v>82</v>
      </c>
      <c r="G300" s="2751"/>
      <c r="H300" s="2660">
        <f>H302+H310</f>
        <v>0</v>
      </c>
      <c r="I300" s="2661"/>
      <c r="J300" s="2662"/>
      <c r="K300" s="2631"/>
      <c r="L300" s="2631"/>
      <c r="M300" s="2631"/>
      <c r="N300" s="2663"/>
      <c r="O300" s="2631"/>
      <c r="P300" s="2631"/>
      <c r="Q300" s="2631"/>
      <c r="R300" s="2631"/>
      <c r="S300" s="2631"/>
      <c r="T300" s="2631"/>
      <c r="U300" s="2660"/>
    </row>
    <row r="301" spans="1:21" ht="34.5" hidden="1" customHeight="1" x14ac:dyDescent="0.35">
      <c r="A301" s="1234"/>
      <c r="B301" s="1242" t="s">
        <v>922</v>
      </c>
      <c r="C301" s="409"/>
      <c r="D301" s="2757" t="s">
        <v>463</v>
      </c>
      <c r="E301" s="2757" t="s">
        <v>488</v>
      </c>
      <c r="F301" s="2757" t="s">
        <v>923</v>
      </c>
      <c r="G301" s="2751"/>
      <c r="H301" s="2660">
        <f>H302</f>
        <v>0</v>
      </c>
      <c r="I301" s="2661"/>
      <c r="J301" s="2662"/>
      <c r="K301" s="2631"/>
      <c r="L301" s="2631"/>
      <c r="M301" s="2631"/>
      <c r="N301" s="2663"/>
      <c r="O301" s="2631"/>
      <c r="P301" s="2631"/>
      <c r="Q301" s="2631"/>
      <c r="R301" s="2631"/>
      <c r="S301" s="2631"/>
      <c r="T301" s="2631"/>
      <c r="U301" s="2660"/>
    </row>
    <row r="302" spans="1:21" ht="21" hidden="1" x14ac:dyDescent="0.35">
      <c r="A302" s="1234"/>
      <c r="B302" s="1242" t="s">
        <v>523</v>
      </c>
      <c r="C302" s="409"/>
      <c r="D302" s="2757" t="s">
        <v>463</v>
      </c>
      <c r="E302" s="2757" t="s">
        <v>488</v>
      </c>
      <c r="F302" s="2757" t="s">
        <v>923</v>
      </c>
      <c r="G302" s="2751" t="s">
        <v>521</v>
      </c>
      <c r="H302" s="2660"/>
      <c r="I302" s="2661"/>
      <c r="J302" s="2662"/>
      <c r="K302" s="2631"/>
      <c r="L302" s="2631"/>
      <c r="M302" s="2631"/>
      <c r="N302" s="2663"/>
      <c r="O302" s="2631"/>
      <c r="P302" s="2631"/>
      <c r="Q302" s="2631"/>
      <c r="R302" s="2631"/>
      <c r="S302" s="2631"/>
      <c r="T302" s="2631"/>
      <c r="U302" s="2660"/>
    </row>
    <row r="303" spans="1:21" ht="24.75" hidden="1" customHeight="1" x14ac:dyDescent="0.35">
      <c r="A303" s="1234"/>
      <c r="B303" s="1242" t="s">
        <v>930</v>
      </c>
      <c r="C303" s="409"/>
      <c r="D303" s="2757" t="s">
        <v>463</v>
      </c>
      <c r="E303" s="2757" t="s">
        <v>488</v>
      </c>
      <c r="F303" s="2757" t="s">
        <v>925</v>
      </c>
      <c r="G303" s="2751"/>
      <c r="H303" s="2660"/>
      <c r="I303" s="2661"/>
      <c r="J303" s="2669"/>
      <c r="K303" s="2631"/>
      <c r="L303" s="2631"/>
      <c r="M303" s="2631"/>
      <c r="N303" s="2663"/>
      <c r="O303" s="2631"/>
      <c r="P303" s="2631"/>
      <c r="Q303" s="2631"/>
      <c r="R303" s="2631"/>
      <c r="S303" s="2631"/>
      <c r="T303" s="2631"/>
      <c r="U303" s="2660"/>
    </row>
    <row r="304" spans="1:21" hidden="1" x14ac:dyDescent="0.35">
      <c r="A304" s="1234"/>
      <c r="B304" s="1242" t="s">
        <v>109</v>
      </c>
      <c r="C304" s="409"/>
      <c r="D304" s="2757" t="s">
        <v>463</v>
      </c>
      <c r="E304" s="2757" t="s">
        <v>488</v>
      </c>
      <c r="F304" s="2757" t="s">
        <v>925</v>
      </c>
      <c r="G304" s="2751"/>
      <c r="H304" s="2660"/>
      <c r="I304" s="2661"/>
      <c r="J304" s="2669"/>
      <c r="K304" s="2631"/>
      <c r="L304" s="2631"/>
      <c r="M304" s="2631"/>
      <c r="N304" s="2663"/>
      <c r="O304" s="2631"/>
      <c r="P304" s="2631"/>
      <c r="Q304" s="2631"/>
      <c r="R304" s="2631"/>
      <c r="S304" s="2631"/>
      <c r="T304" s="2631"/>
      <c r="U304" s="2660"/>
    </row>
    <row r="305" spans="1:21" hidden="1" x14ac:dyDescent="0.35">
      <c r="A305" s="1234"/>
      <c r="B305" s="1242" t="s">
        <v>109</v>
      </c>
      <c r="C305" s="409"/>
      <c r="D305" s="2757" t="s">
        <v>463</v>
      </c>
      <c r="E305" s="2757" t="s">
        <v>488</v>
      </c>
      <c r="F305" s="2757" t="s">
        <v>925</v>
      </c>
      <c r="G305" s="2751"/>
      <c r="H305" s="2660"/>
      <c r="I305" s="2661"/>
      <c r="J305" s="2669"/>
      <c r="K305" s="2631"/>
      <c r="L305" s="2631"/>
      <c r="M305" s="2631"/>
      <c r="N305" s="2663"/>
      <c r="O305" s="2631"/>
      <c r="P305" s="2631"/>
      <c r="Q305" s="2631"/>
      <c r="R305" s="2631"/>
      <c r="S305" s="2631"/>
      <c r="T305" s="2631"/>
      <c r="U305" s="2660"/>
    </row>
    <row r="306" spans="1:21" ht="31.5" hidden="1" x14ac:dyDescent="0.35">
      <c r="A306" s="1234"/>
      <c r="B306" s="1242" t="s">
        <v>499</v>
      </c>
      <c r="C306" s="409"/>
      <c r="D306" s="2757" t="s">
        <v>463</v>
      </c>
      <c r="E306" s="2757" t="s">
        <v>488</v>
      </c>
      <c r="F306" s="2750" t="s">
        <v>89</v>
      </c>
      <c r="G306" s="2751"/>
      <c r="H306" s="2660">
        <f>H307</f>
        <v>0</v>
      </c>
      <c r="I306" s="2661"/>
      <c r="J306" s="2669"/>
      <c r="K306" s="2631"/>
      <c r="L306" s="2631"/>
      <c r="M306" s="2631"/>
      <c r="N306" s="2663">
        <f>N307</f>
        <v>0</v>
      </c>
      <c r="O306" s="2631"/>
      <c r="P306" s="2631"/>
      <c r="Q306" s="2631"/>
      <c r="R306" s="2631"/>
      <c r="S306" s="2631"/>
      <c r="T306" s="2631"/>
      <c r="U306" s="2660">
        <f>U307</f>
        <v>0</v>
      </c>
    </row>
    <row r="307" spans="1:21" hidden="1" x14ac:dyDescent="0.35">
      <c r="A307" s="1234"/>
      <c r="B307" s="1242" t="s">
        <v>109</v>
      </c>
      <c r="C307" s="409"/>
      <c r="D307" s="2757" t="s">
        <v>463</v>
      </c>
      <c r="E307" s="2757" t="s">
        <v>488</v>
      </c>
      <c r="F307" s="2750" t="s">
        <v>84</v>
      </c>
      <c r="G307" s="2751"/>
      <c r="H307" s="2660">
        <f>H311</f>
        <v>0</v>
      </c>
      <c r="I307" s="2661"/>
      <c r="J307" s="2669"/>
      <c r="K307" s="2631"/>
      <c r="L307" s="2631"/>
      <c r="M307" s="2631"/>
      <c r="N307" s="2663">
        <f>N311</f>
        <v>0</v>
      </c>
      <c r="O307" s="2631"/>
      <c r="P307" s="2631"/>
      <c r="Q307" s="2631"/>
      <c r="R307" s="2631"/>
      <c r="S307" s="2631"/>
      <c r="T307" s="2631"/>
      <c r="U307" s="2660">
        <f>U311</f>
        <v>0</v>
      </c>
    </row>
    <row r="308" spans="1:21" hidden="1" x14ac:dyDescent="0.35">
      <c r="A308" s="1234"/>
      <c r="B308" s="1242" t="s">
        <v>109</v>
      </c>
      <c r="C308" s="409"/>
      <c r="D308" s="2757" t="s">
        <v>463</v>
      </c>
      <c r="E308" s="2757" t="s">
        <v>488</v>
      </c>
      <c r="F308" s="2757" t="s">
        <v>82</v>
      </c>
      <c r="G308" s="2751"/>
      <c r="H308" s="2660">
        <f>H309</f>
        <v>0</v>
      </c>
      <c r="I308" s="2661"/>
      <c r="J308" s="2669"/>
      <c r="K308" s="2631"/>
      <c r="L308" s="2631"/>
      <c r="M308" s="2631"/>
      <c r="N308" s="2663"/>
      <c r="O308" s="2631"/>
      <c r="P308" s="2631"/>
      <c r="Q308" s="2631"/>
      <c r="R308" s="2631"/>
      <c r="S308" s="2631"/>
      <c r="T308" s="2631"/>
      <c r="U308" s="2660"/>
    </row>
    <row r="309" spans="1:21" ht="21" hidden="1" x14ac:dyDescent="0.35">
      <c r="A309" s="1234"/>
      <c r="B309" s="1242" t="s">
        <v>930</v>
      </c>
      <c r="C309" s="409"/>
      <c r="D309" s="2757" t="s">
        <v>463</v>
      </c>
      <c r="E309" s="2757" t="s">
        <v>488</v>
      </c>
      <c r="F309" s="2757" t="s">
        <v>925</v>
      </c>
      <c r="G309" s="2751"/>
      <c r="H309" s="2660">
        <f>H310</f>
        <v>0</v>
      </c>
      <c r="I309" s="2661"/>
      <c r="J309" s="2669"/>
      <c r="K309" s="2631"/>
      <c r="L309" s="2631"/>
      <c r="M309" s="2631"/>
      <c r="N309" s="2663">
        <f>N310</f>
        <v>0</v>
      </c>
      <c r="O309" s="2631"/>
      <c r="P309" s="2631"/>
      <c r="Q309" s="2631"/>
      <c r="R309" s="2631"/>
      <c r="S309" s="2631"/>
      <c r="T309" s="2631"/>
      <c r="U309" s="2660">
        <f>U310</f>
        <v>0</v>
      </c>
    </row>
    <row r="310" spans="1:21" ht="21" hidden="1" x14ac:dyDescent="0.35">
      <c r="A310" s="1234"/>
      <c r="B310" s="1242" t="s">
        <v>523</v>
      </c>
      <c r="C310" s="409"/>
      <c r="D310" s="2757" t="s">
        <v>463</v>
      </c>
      <c r="E310" s="2757" t="s">
        <v>488</v>
      </c>
      <c r="F310" s="2757" t="s">
        <v>925</v>
      </c>
      <c r="G310" s="2751" t="s">
        <v>521</v>
      </c>
      <c r="H310" s="2660"/>
      <c r="I310" s="2661"/>
      <c r="J310" s="2669"/>
      <c r="K310" s="2631"/>
      <c r="L310" s="2631"/>
      <c r="M310" s="2631"/>
      <c r="N310" s="2663"/>
      <c r="O310" s="2631"/>
      <c r="P310" s="2631"/>
      <c r="Q310" s="2631"/>
      <c r="R310" s="2631"/>
      <c r="S310" s="2631"/>
      <c r="T310" s="2631"/>
      <c r="U310" s="2660"/>
    </row>
    <row r="311" spans="1:21" hidden="1" x14ac:dyDescent="0.35">
      <c r="A311" s="1234"/>
      <c r="B311" s="1242" t="s">
        <v>109</v>
      </c>
      <c r="C311" s="409"/>
      <c r="D311" s="2757" t="s">
        <v>463</v>
      </c>
      <c r="E311" s="2757" t="s">
        <v>488</v>
      </c>
      <c r="F311" s="2757" t="s">
        <v>82</v>
      </c>
      <c r="G311" s="2751"/>
      <c r="H311" s="2660">
        <f>H314+H317+H319</f>
        <v>0</v>
      </c>
      <c r="I311" s="2661"/>
      <c r="J311" s="2669"/>
      <c r="K311" s="2631"/>
      <c r="L311" s="2631"/>
      <c r="M311" s="2631"/>
      <c r="N311" s="2663">
        <f>N314+N317</f>
        <v>0</v>
      </c>
      <c r="O311" s="2631"/>
      <c r="P311" s="2631"/>
      <c r="Q311" s="2631"/>
      <c r="R311" s="2631"/>
      <c r="S311" s="2631"/>
      <c r="T311" s="2631"/>
      <c r="U311" s="2660">
        <f>U314+U317</f>
        <v>0</v>
      </c>
    </row>
    <row r="312" spans="1:21" ht="21.65" hidden="1" customHeight="1" x14ac:dyDescent="0.35">
      <c r="A312" s="1234"/>
      <c r="B312" s="1242" t="s">
        <v>1190</v>
      </c>
      <c r="C312" s="409"/>
      <c r="D312" s="2757" t="s">
        <v>463</v>
      </c>
      <c r="E312" s="2757" t="s">
        <v>488</v>
      </c>
      <c r="F312" s="2757" t="s">
        <v>1180</v>
      </c>
      <c r="G312" s="2751"/>
      <c r="H312" s="2660">
        <f>H313</f>
        <v>0</v>
      </c>
      <c r="I312" s="2661"/>
      <c r="J312" s="2669"/>
      <c r="K312" s="2631"/>
      <c r="L312" s="2631"/>
      <c r="M312" s="2631"/>
      <c r="N312" s="2663">
        <v>0</v>
      </c>
      <c r="O312" s="2631"/>
      <c r="P312" s="2631"/>
      <c r="Q312" s="2631"/>
      <c r="R312" s="2631"/>
      <c r="S312" s="2631"/>
      <c r="T312" s="2631"/>
      <c r="U312" s="2660">
        <v>0</v>
      </c>
    </row>
    <row r="313" spans="1:21" ht="21" hidden="1" x14ac:dyDescent="0.35">
      <c r="A313" s="1234"/>
      <c r="B313" s="753" t="s">
        <v>948</v>
      </c>
      <c r="C313" s="409"/>
      <c r="D313" s="2757" t="s">
        <v>463</v>
      </c>
      <c r="E313" s="2757" t="s">
        <v>488</v>
      </c>
      <c r="F313" s="2757" t="s">
        <v>1180</v>
      </c>
      <c r="G313" s="2758" t="s">
        <v>955</v>
      </c>
      <c r="H313" s="2660">
        <f>H314</f>
        <v>0</v>
      </c>
      <c r="I313" s="2661"/>
      <c r="J313" s="2669"/>
      <c r="K313" s="2631"/>
      <c r="L313" s="2631"/>
      <c r="M313" s="2631"/>
      <c r="N313" s="2663">
        <v>0</v>
      </c>
      <c r="O313" s="2631"/>
      <c r="P313" s="2631"/>
      <c r="Q313" s="2631"/>
      <c r="R313" s="2631"/>
      <c r="S313" s="2631"/>
      <c r="T313" s="2631"/>
      <c r="U313" s="2660">
        <v>0</v>
      </c>
    </row>
    <row r="314" spans="1:21" ht="21" hidden="1" x14ac:dyDescent="0.35">
      <c r="A314" s="1234"/>
      <c r="B314" s="1242" t="s">
        <v>454</v>
      </c>
      <c r="C314" s="409"/>
      <c r="D314" s="2757" t="s">
        <v>463</v>
      </c>
      <c r="E314" s="2757" t="s">
        <v>488</v>
      </c>
      <c r="F314" s="2757" t="s">
        <v>1180</v>
      </c>
      <c r="G314" s="2758" t="s">
        <v>1</v>
      </c>
      <c r="H314" s="2660">
        <v>0</v>
      </c>
      <c r="I314" s="2661"/>
      <c r="J314" s="2669"/>
      <c r="K314" s="2631"/>
      <c r="L314" s="2631"/>
      <c r="M314" s="2631"/>
      <c r="N314" s="2663">
        <v>0</v>
      </c>
      <c r="O314" s="2631"/>
      <c r="P314" s="2631"/>
      <c r="Q314" s="2631"/>
      <c r="R314" s="2631"/>
      <c r="S314" s="2631"/>
      <c r="T314" s="2631"/>
      <c r="U314" s="2660">
        <v>0</v>
      </c>
    </row>
    <row r="315" spans="1:21" ht="21" hidden="1" x14ac:dyDescent="0.35">
      <c r="A315" s="1234"/>
      <c r="B315" s="1242" t="s">
        <v>1193</v>
      </c>
      <c r="C315" s="409"/>
      <c r="D315" s="2757" t="s">
        <v>463</v>
      </c>
      <c r="E315" s="2757" t="s">
        <v>488</v>
      </c>
      <c r="F315" s="2757" t="s">
        <v>1192</v>
      </c>
      <c r="G315" s="2758"/>
      <c r="H315" s="2660">
        <f>H316+H319</f>
        <v>0</v>
      </c>
      <c r="I315" s="2661"/>
      <c r="J315" s="2669"/>
      <c r="K315" s="2631"/>
      <c r="L315" s="2631"/>
      <c r="M315" s="2631"/>
      <c r="N315" s="2663">
        <f>N316+N319</f>
        <v>0</v>
      </c>
      <c r="O315" s="2631"/>
      <c r="P315" s="2631"/>
      <c r="Q315" s="2631"/>
      <c r="R315" s="2631"/>
      <c r="S315" s="2631"/>
      <c r="T315" s="2631"/>
      <c r="U315" s="2660">
        <f>U316+U319</f>
        <v>0</v>
      </c>
    </row>
    <row r="316" spans="1:21" ht="21" hidden="1" x14ac:dyDescent="0.35">
      <c r="A316" s="1234"/>
      <c r="B316" s="1242" t="s">
        <v>948</v>
      </c>
      <c r="C316" s="409"/>
      <c r="D316" s="2757" t="s">
        <v>463</v>
      </c>
      <c r="E316" s="2757" t="s">
        <v>488</v>
      </c>
      <c r="F316" s="2757" t="s">
        <v>1192</v>
      </c>
      <c r="G316" s="2758" t="s">
        <v>955</v>
      </c>
      <c r="H316" s="2660">
        <f>H317</f>
        <v>0</v>
      </c>
      <c r="I316" s="2661"/>
      <c r="J316" s="2669"/>
      <c r="K316" s="2631"/>
      <c r="L316" s="2631"/>
      <c r="M316" s="2631"/>
      <c r="N316" s="2663">
        <f>N317</f>
        <v>0</v>
      </c>
      <c r="O316" s="2631"/>
      <c r="P316" s="2631"/>
      <c r="Q316" s="2631"/>
      <c r="R316" s="2631"/>
      <c r="S316" s="2631"/>
      <c r="T316" s="2631"/>
      <c r="U316" s="2660">
        <f>U317</f>
        <v>0</v>
      </c>
    </row>
    <row r="317" spans="1:21" ht="21" hidden="1" x14ac:dyDescent="0.35">
      <c r="A317" s="1234"/>
      <c r="B317" s="1242" t="s">
        <v>454</v>
      </c>
      <c r="C317" s="409"/>
      <c r="D317" s="2757" t="s">
        <v>463</v>
      </c>
      <c r="E317" s="2757" t="s">
        <v>488</v>
      </c>
      <c r="F317" s="2757" t="s">
        <v>1192</v>
      </c>
      <c r="G317" s="2758" t="s">
        <v>1</v>
      </c>
      <c r="H317" s="2660">
        <v>0</v>
      </c>
      <c r="I317" s="2661"/>
      <c r="J317" s="2669"/>
      <c r="K317" s="2631"/>
      <c r="L317" s="2631"/>
      <c r="M317" s="2631"/>
      <c r="N317" s="2663">
        <v>0</v>
      </c>
      <c r="O317" s="2631"/>
      <c r="P317" s="2631"/>
      <c r="Q317" s="2631"/>
      <c r="R317" s="2631"/>
      <c r="S317" s="2631"/>
      <c r="T317" s="2631"/>
      <c r="U317" s="2660">
        <v>0</v>
      </c>
    </row>
    <row r="318" spans="1:21" hidden="1" x14ac:dyDescent="0.35">
      <c r="A318" s="1234"/>
      <c r="B318" s="1242" t="s">
        <v>1068</v>
      </c>
      <c r="C318" s="409"/>
      <c r="D318" s="2757" t="s">
        <v>463</v>
      </c>
      <c r="E318" s="2757" t="s">
        <v>488</v>
      </c>
      <c r="F318" s="2757" t="s">
        <v>1192</v>
      </c>
      <c r="G318" s="2758" t="s">
        <v>1064</v>
      </c>
      <c r="H318" s="2660">
        <f>H319</f>
        <v>0</v>
      </c>
      <c r="I318" s="2661"/>
      <c r="J318" s="2669"/>
      <c r="K318" s="2631"/>
      <c r="L318" s="2631"/>
      <c r="M318" s="2631"/>
      <c r="N318" s="2663">
        <f>N319</f>
        <v>0</v>
      </c>
      <c r="O318" s="2631"/>
      <c r="P318" s="2631"/>
      <c r="Q318" s="2631"/>
      <c r="R318" s="2631"/>
      <c r="S318" s="2631"/>
      <c r="T318" s="2631"/>
      <c r="U318" s="2660">
        <f>U319</f>
        <v>0</v>
      </c>
    </row>
    <row r="319" spans="1:21" hidden="1" x14ac:dyDescent="0.35">
      <c r="A319" s="1234"/>
      <c r="B319" s="1242" t="s">
        <v>1003</v>
      </c>
      <c r="C319" s="409"/>
      <c r="D319" s="2757" t="s">
        <v>463</v>
      </c>
      <c r="E319" s="2757" t="s">
        <v>488</v>
      </c>
      <c r="F319" s="2757" t="s">
        <v>1192</v>
      </c>
      <c r="G319" s="2758" t="s">
        <v>95</v>
      </c>
      <c r="H319" s="2660">
        <v>0</v>
      </c>
      <c r="I319" s="2661"/>
      <c r="J319" s="2669"/>
      <c r="K319" s="2631"/>
      <c r="L319" s="2631"/>
      <c r="M319" s="2631"/>
      <c r="N319" s="2663">
        <v>0</v>
      </c>
      <c r="O319" s="2631"/>
      <c r="P319" s="2631"/>
      <c r="Q319" s="2631"/>
      <c r="R319" s="2631"/>
      <c r="S319" s="2631"/>
      <c r="T319" s="2631"/>
      <c r="U319" s="2660">
        <v>0</v>
      </c>
    </row>
    <row r="320" spans="1:21" x14ac:dyDescent="0.35">
      <c r="A320" s="1229"/>
      <c r="B320" s="1225" t="s">
        <v>34</v>
      </c>
      <c r="C320" s="1227"/>
      <c r="D320" s="2759" t="s">
        <v>463</v>
      </c>
      <c r="E320" s="2759" t="s">
        <v>495</v>
      </c>
      <c r="F320" s="2759"/>
      <c r="G320" s="2760"/>
      <c r="H320" s="2664">
        <f>H321+H367+H377+H382+H389+H351+H362+H357+H382</f>
        <v>46494.200900000011</v>
      </c>
      <c r="I320" s="2665">
        <f>I321+I329</f>
        <v>13543.38</v>
      </c>
      <c r="J320" s="2666">
        <f>J321+J329</f>
        <v>9788.7259999999987</v>
      </c>
      <c r="K320" s="2631"/>
      <c r="L320" s="2631"/>
      <c r="M320" s="2631"/>
      <c r="N320" s="2667">
        <f>N325+N328+N332+N356+N361+N366+N376+N381+N387+N401</f>
        <v>48314.352860000006</v>
      </c>
      <c r="O320" s="2631"/>
      <c r="P320" s="2631"/>
      <c r="Q320" s="2631"/>
      <c r="R320" s="2631"/>
      <c r="S320" s="2631"/>
      <c r="T320" s="2631"/>
      <c r="U320" s="2664">
        <f>U325+U328+U332+U356+U361+U366+U381+U399+U401+U382+U372+U376</f>
        <v>47455.328000000001</v>
      </c>
    </row>
    <row r="321" spans="1:21" ht="24" customHeight="1" x14ac:dyDescent="0.35">
      <c r="A321" s="1179"/>
      <c r="B321" s="1243" t="s">
        <v>931</v>
      </c>
      <c r="C321" s="409"/>
      <c r="D321" s="2750" t="s">
        <v>463</v>
      </c>
      <c r="E321" s="2750" t="s">
        <v>495</v>
      </c>
      <c r="F321" s="2750" t="s">
        <v>189</v>
      </c>
      <c r="G321" s="2751"/>
      <c r="H321" s="2660">
        <f>H322+H329</f>
        <v>34676.082400000007</v>
      </c>
      <c r="I321" s="2661">
        <f>I322</f>
        <v>10043.379999999999</v>
      </c>
      <c r="J321" s="2668">
        <f>J322</f>
        <v>6288.7259999999997</v>
      </c>
      <c r="K321" s="2639">
        <f>K325+K328+K371+K376+K404</f>
        <v>2750</v>
      </c>
      <c r="L321" s="2631"/>
      <c r="M321" s="2631"/>
      <c r="N321" s="2663">
        <f>N322+N329</f>
        <v>37274.24856</v>
      </c>
      <c r="O321" s="2631"/>
      <c r="P321" s="2631"/>
      <c r="Q321" s="2631"/>
      <c r="R321" s="2631"/>
      <c r="S321" s="2631"/>
      <c r="T321" s="2631"/>
      <c r="U321" s="2660">
        <f>U322+U329</f>
        <v>38451.370000000003</v>
      </c>
    </row>
    <row r="322" spans="1:21" ht="31.5" x14ac:dyDescent="0.35">
      <c r="A322" s="842"/>
      <c r="B322" s="1197" t="s">
        <v>188</v>
      </c>
      <c r="C322" s="408"/>
      <c r="D322" s="2750" t="s">
        <v>463</v>
      </c>
      <c r="E322" s="2750" t="s">
        <v>495</v>
      </c>
      <c r="F322" s="2750" t="s">
        <v>187</v>
      </c>
      <c r="G322" s="2751"/>
      <c r="H322" s="2660">
        <f>H323+H326</f>
        <v>34340.292400000006</v>
      </c>
      <c r="I322" s="2661">
        <f>I323+I326</f>
        <v>10043.379999999999</v>
      </c>
      <c r="J322" s="2668">
        <f>J323+J326</f>
        <v>6288.7259999999997</v>
      </c>
      <c r="K322" s="2631"/>
      <c r="L322" s="2631"/>
      <c r="M322" s="2631"/>
      <c r="N322" s="2663">
        <f>N323+N326</f>
        <v>37204.24856</v>
      </c>
      <c r="O322" s="2631"/>
      <c r="P322" s="2631"/>
      <c r="Q322" s="2631"/>
      <c r="R322" s="2631"/>
      <c r="S322" s="2631"/>
      <c r="T322" s="2631"/>
      <c r="U322" s="2660">
        <f>U323+U326</f>
        <v>38381.370000000003</v>
      </c>
    </row>
    <row r="323" spans="1:21" ht="28.5" customHeight="1" x14ac:dyDescent="0.35">
      <c r="A323" s="1179"/>
      <c r="B323" s="1205" t="s">
        <v>186</v>
      </c>
      <c r="C323" s="1217"/>
      <c r="D323" s="2757" t="s">
        <v>463</v>
      </c>
      <c r="E323" s="2757" t="s">
        <v>495</v>
      </c>
      <c r="F323" s="2757" t="s">
        <v>185</v>
      </c>
      <c r="G323" s="2758"/>
      <c r="H323" s="2660">
        <f>H325</f>
        <v>900</v>
      </c>
      <c r="I323" s="2661">
        <f>I325</f>
        <v>10043.379999999999</v>
      </c>
      <c r="J323" s="2668">
        <f>J325</f>
        <v>6288.7259999999997</v>
      </c>
      <c r="K323" s="2631"/>
      <c r="L323" s="2631"/>
      <c r="M323" s="2631"/>
      <c r="N323" s="2663">
        <f>N325</f>
        <v>2800</v>
      </c>
      <c r="O323" s="2631"/>
      <c r="P323" s="2631"/>
      <c r="Q323" s="2631"/>
      <c r="R323" s="2631"/>
      <c r="S323" s="2631"/>
      <c r="T323" s="2631"/>
      <c r="U323" s="2660">
        <f>U325</f>
        <v>950</v>
      </c>
    </row>
    <row r="324" spans="1:21" ht="19.5" customHeight="1" x14ac:dyDescent="0.35">
      <c r="A324" s="1179"/>
      <c r="B324" s="753" t="s">
        <v>948</v>
      </c>
      <c r="C324" s="1217"/>
      <c r="D324" s="2757" t="s">
        <v>463</v>
      </c>
      <c r="E324" s="2757" t="s">
        <v>495</v>
      </c>
      <c r="F324" s="2757" t="s">
        <v>185</v>
      </c>
      <c r="G324" s="2758" t="s">
        <v>955</v>
      </c>
      <c r="H324" s="2660">
        <f t="shared" ref="H324:U324" si="71">H325</f>
        <v>900</v>
      </c>
      <c r="I324" s="2661">
        <f t="shared" si="71"/>
        <v>10043.379999999999</v>
      </c>
      <c r="J324" s="2669">
        <f t="shared" si="71"/>
        <v>6288.7259999999997</v>
      </c>
      <c r="K324" s="2631">
        <f t="shared" si="71"/>
        <v>2300</v>
      </c>
      <c r="L324" s="2631">
        <f t="shared" si="71"/>
        <v>0</v>
      </c>
      <c r="M324" s="2631">
        <f t="shared" si="71"/>
        <v>0</v>
      </c>
      <c r="N324" s="2663">
        <f t="shared" si="71"/>
        <v>2800</v>
      </c>
      <c r="O324" s="2631">
        <f t="shared" si="71"/>
        <v>0</v>
      </c>
      <c r="P324" s="2631">
        <f t="shared" si="71"/>
        <v>0</v>
      </c>
      <c r="Q324" s="2631">
        <f t="shared" si="71"/>
        <v>0</v>
      </c>
      <c r="R324" s="2631">
        <f t="shared" si="71"/>
        <v>0</v>
      </c>
      <c r="S324" s="2631">
        <f t="shared" si="71"/>
        <v>0</v>
      </c>
      <c r="T324" s="2631">
        <f t="shared" si="71"/>
        <v>0</v>
      </c>
      <c r="U324" s="2660">
        <f t="shared" si="71"/>
        <v>950</v>
      </c>
    </row>
    <row r="325" spans="1:21" ht="21" x14ac:dyDescent="0.35">
      <c r="A325" s="1179"/>
      <c r="B325" s="1182" t="s">
        <v>454</v>
      </c>
      <c r="C325" s="409"/>
      <c r="D325" s="2757" t="s">
        <v>463</v>
      </c>
      <c r="E325" s="2757" t="s">
        <v>495</v>
      </c>
      <c r="F325" s="2757" t="s">
        <v>185</v>
      </c>
      <c r="G325" s="2751" t="s">
        <v>1</v>
      </c>
      <c r="H325" s="2660">
        <f>600+300</f>
        <v>900</v>
      </c>
      <c r="I325" s="2661">
        <v>10043.379999999999</v>
      </c>
      <c r="J325" s="2662">
        <v>6288.7259999999997</v>
      </c>
      <c r="K325" s="2631">
        <v>2300</v>
      </c>
      <c r="L325" s="2631"/>
      <c r="M325" s="2631"/>
      <c r="N325" s="2663">
        <f>2500+300</f>
        <v>2800</v>
      </c>
      <c r="O325" s="2631"/>
      <c r="P325" s="2631"/>
      <c r="Q325" s="2631"/>
      <c r="R325" s="2631"/>
      <c r="S325" s="2631"/>
      <c r="T325" s="2631"/>
      <c r="U325" s="2660">
        <f>600+350</f>
        <v>950</v>
      </c>
    </row>
    <row r="326" spans="1:21" ht="36.75" customHeight="1" x14ac:dyDescent="0.35">
      <c r="A326" s="1179"/>
      <c r="B326" s="1205" t="s">
        <v>184</v>
      </c>
      <c r="C326" s="409"/>
      <c r="D326" s="2757" t="s">
        <v>463</v>
      </c>
      <c r="E326" s="2757" t="s">
        <v>495</v>
      </c>
      <c r="F326" s="2757" t="s">
        <v>183</v>
      </c>
      <c r="G326" s="2751"/>
      <c r="H326" s="2660">
        <f>H328+H346</f>
        <v>33440.292400000006</v>
      </c>
      <c r="I326" s="2661">
        <f>I328</f>
        <v>0</v>
      </c>
      <c r="J326" s="2662">
        <f>J328</f>
        <v>0</v>
      </c>
      <c r="K326" s="2631"/>
      <c r="L326" s="2631"/>
      <c r="M326" s="2631"/>
      <c r="N326" s="2663">
        <f>N328+N346</f>
        <v>34404.24856</v>
      </c>
      <c r="O326" s="2631"/>
      <c r="P326" s="2631"/>
      <c r="Q326" s="2631"/>
      <c r="R326" s="2631"/>
      <c r="S326" s="2631"/>
      <c r="T326" s="2631"/>
      <c r="U326" s="2660">
        <f>U328+U346</f>
        <v>37431.370000000003</v>
      </c>
    </row>
    <row r="327" spans="1:21" ht="17.149999999999999" customHeight="1" x14ac:dyDescent="0.35">
      <c r="A327" s="1179"/>
      <c r="B327" s="753" t="s">
        <v>948</v>
      </c>
      <c r="C327" s="409"/>
      <c r="D327" s="2757" t="s">
        <v>463</v>
      </c>
      <c r="E327" s="2757" t="s">
        <v>495</v>
      </c>
      <c r="F327" s="2757" t="s">
        <v>183</v>
      </c>
      <c r="G327" s="2751" t="s">
        <v>955</v>
      </c>
      <c r="H327" s="2660">
        <f t="shared" ref="H327:U327" si="72">H328</f>
        <v>33440.292400000006</v>
      </c>
      <c r="I327" s="2661">
        <f t="shared" si="72"/>
        <v>0</v>
      </c>
      <c r="J327" s="2662">
        <f t="shared" si="72"/>
        <v>0</v>
      </c>
      <c r="K327" s="2631">
        <f t="shared" si="72"/>
        <v>0</v>
      </c>
      <c r="L327" s="2631">
        <f t="shared" si="72"/>
        <v>0</v>
      </c>
      <c r="M327" s="2631">
        <f t="shared" si="72"/>
        <v>0</v>
      </c>
      <c r="N327" s="2663">
        <f t="shared" si="72"/>
        <v>34404.24856</v>
      </c>
      <c r="O327" s="2631">
        <f t="shared" si="72"/>
        <v>0</v>
      </c>
      <c r="P327" s="2631">
        <f t="shared" si="72"/>
        <v>0</v>
      </c>
      <c r="Q327" s="2631">
        <f t="shared" si="72"/>
        <v>0</v>
      </c>
      <c r="R327" s="2631">
        <f t="shared" si="72"/>
        <v>0</v>
      </c>
      <c r="S327" s="2631">
        <f t="shared" si="72"/>
        <v>0</v>
      </c>
      <c r="T327" s="2631">
        <f t="shared" si="72"/>
        <v>0</v>
      </c>
      <c r="U327" s="2660">
        <f t="shared" si="72"/>
        <v>37431.370000000003</v>
      </c>
    </row>
    <row r="328" spans="1:21" ht="21.75" customHeight="1" x14ac:dyDescent="0.35">
      <c r="A328" s="1179"/>
      <c r="B328" s="1182" t="s">
        <v>454</v>
      </c>
      <c r="C328" s="409"/>
      <c r="D328" s="2757" t="s">
        <v>463</v>
      </c>
      <c r="E328" s="2757" t="s">
        <v>495</v>
      </c>
      <c r="F328" s="2757" t="s">
        <v>183</v>
      </c>
      <c r="G328" s="2751" t="s">
        <v>1</v>
      </c>
      <c r="H328" s="2660">
        <f>29796.1824+2494.11+1000+150</f>
        <v>33440.292400000006</v>
      </c>
      <c r="I328" s="2661"/>
      <c r="J328" s="2662"/>
      <c r="K328" s="2647"/>
      <c r="L328" s="2631"/>
      <c r="M328" s="2631"/>
      <c r="N328" s="2663">
        <f>31583.9531+2643.756+1000+150-973.46054</f>
        <v>34404.24856</v>
      </c>
      <c r="O328" s="2631"/>
      <c r="P328" s="2631"/>
      <c r="Q328" s="2631"/>
      <c r="R328" s="2631"/>
      <c r="S328" s="2631"/>
      <c r="T328" s="2631"/>
      <c r="U328" s="2660">
        <f>33478.989+1000+150+2802.381</f>
        <v>37431.370000000003</v>
      </c>
    </row>
    <row r="329" spans="1:21" ht="31.5" x14ac:dyDescent="0.35">
      <c r="A329" s="842"/>
      <c r="B329" s="1197" t="s">
        <v>1118</v>
      </c>
      <c r="C329" s="408"/>
      <c r="D329" s="2750" t="s">
        <v>463</v>
      </c>
      <c r="E329" s="2750" t="s">
        <v>495</v>
      </c>
      <c r="F329" s="2750" t="s">
        <v>1117</v>
      </c>
      <c r="G329" s="2751"/>
      <c r="H329" s="2660">
        <f>H330+H334</f>
        <v>335.79</v>
      </c>
      <c r="I329" s="2661">
        <f>I330+I334</f>
        <v>3500</v>
      </c>
      <c r="J329" s="2662">
        <f>J330+J334</f>
        <v>3500</v>
      </c>
      <c r="K329" s="2631"/>
      <c r="L329" s="2631"/>
      <c r="M329" s="2631"/>
      <c r="N329" s="2663">
        <f>N330+N334</f>
        <v>70</v>
      </c>
      <c r="O329" s="2631"/>
      <c r="P329" s="2631"/>
      <c r="Q329" s="2631"/>
      <c r="R329" s="2631"/>
      <c r="S329" s="2631"/>
      <c r="T329" s="2631"/>
      <c r="U329" s="2660">
        <f>U330+U334</f>
        <v>70</v>
      </c>
    </row>
    <row r="330" spans="1:21" ht="21" x14ac:dyDescent="0.35">
      <c r="A330" s="1245"/>
      <c r="B330" s="2420" t="s">
        <v>1119</v>
      </c>
      <c r="C330" s="1217"/>
      <c r="D330" s="2757" t="s">
        <v>463</v>
      </c>
      <c r="E330" s="2757" t="s">
        <v>495</v>
      </c>
      <c r="F330" s="2750" t="s">
        <v>1116</v>
      </c>
      <c r="G330" s="2758"/>
      <c r="H330" s="2660">
        <f>H332</f>
        <v>335.79</v>
      </c>
      <c r="I330" s="2661">
        <f t="shared" ref="H330:J332" si="73">I331</f>
        <v>3500</v>
      </c>
      <c r="J330" s="2662">
        <f t="shared" si="73"/>
        <v>3500</v>
      </c>
      <c r="K330" s="2631"/>
      <c r="L330" s="2631"/>
      <c r="M330" s="2631"/>
      <c r="N330" s="2663">
        <f>N332</f>
        <v>70</v>
      </c>
      <c r="O330" s="2631"/>
      <c r="P330" s="2631"/>
      <c r="Q330" s="2631"/>
      <c r="R330" s="2631"/>
      <c r="S330" s="2631"/>
      <c r="T330" s="2631"/>
      <c r="U330" s="2660">
        <f>U332</f>
        <v>70</v>
      </c>
    </row>
    <row r="331" spans="1:21" ht="21" x14ac:dyDescent="0.35">
      <c r="A331" s="842"/>
      <c r="B331" s="753" t="s">
        <v>948</v>
      </c>
      <c r="C331" s="408"/>
      <c r="D331" s="2750" t="s">
        <v>463</v>
      </c>
      <c r="E331" s="2750" t="s">
        <v>495</v>
      </c>
      <c r="F331" s="2750" t="s">
        <v>1116</v>
      </c>
      <c r="G331" s="2758" t="s">
        <v>955</v>
      </c>
      <c r="H331" s="2660">
        <f t="shared" si="73"/>
        <v>335.79</v>
      </c>
      <c r="I331" s="2661">
        <f t="shared" si="73"/>
        <v>3500</v>
      </c>
      <c r="J331" s="2662">
        <f t="shared" si="73"/>
        <v>3500</v>
      </c>
      <c r="K331" s="2631"/>
      <c r="L331" s="2631"/>
      <c r="M331" s="2631"/>
      <c r="N331" s="2663">
        <f t="shared" ref="N331" si="74">N332</f>
        <v>70</v>
      </c>
      <c r="O331" s="2631"/>
      <c r="P331" s="2631"/>
      <c r="Q331" s="2631"/>
      <c r="R331" s="2631"/>
      <c r="S331" s="2631"/>
      <c r="T331" s="2631"/>
      <c r="U331" s="2660">
        <f t="shared" ref="U331" si="75">U332</f>
        <v>70</v>
      </c>
    </row>
    <row r="332" spans="1:21" ht="21" x14ac:dyDescent="0.35">
      <c r="A332" s="1245"/>
      <c r="B332" s="1182" t="s">
        <v>454</v>
      </c>
      <c r="C332" s="1217"/>
      <c r="D332" s="2757" t="s">
        <v>463</v>
      </c>
      <c r="E332" s="2757" t="s">
        <v>495</v>
      </c>
      <c r="F332" s="2750" t="s">
        <v>1116</v>
      </c>
      <c r="G332" s="2751" t="s">
        <v>1</v>
      </c>
      <c r="H332" s="2660">
        <v>335.79</v>
      </c>
      <c r="I332" s="2661">
        <f t="shared" si="73"/>
        <v>3500</v>
      </c>
      <c r="J332" s="2662">
        <f t="shared" si="73"/>
        <v>3500</v>
      </c>
      <c r="K332" s="2631"/>
      <c r="L332" s="2631"/>
      <c r="M332" s="2631"/>
      <c r="N332" s="2663">
        <v>70</v>
      </c>
      <c r="O332" s="2631"/>
      <c r="P332" s="2631"/>
      <c r="Q332" s="2631"/>
      <c r="R332" s="2631"/>
      <c r="S332" s="2631"/>
      <c r="T332" s="2631"/>
      <c r="U332" s="2660">
        <v>70</v>
      </c>
    </row>
    <row r="333" spans="1:21" ht="21" hidden="1" x14ac:dyDescent="0.35">
      <c r="A333" s="1229"/>
      <c r="B333" s="1182" t="s">
        <v>454</v>
      </c>
      <c r="C333" s="409"/>
      <c r="D333" s="2757" t="s">
        <v>463</v>
      </c>
      <c r="E333" s="2757" t="s">
        <v>495</v>
      </c>
      <c r="F333" s="2750" t="s">
        <v>1116</v>
      </c>
      <c r="G333" s="2751" t="s">
        <v>1</v>
      </c>
      <c r="H333" s="2660">
        <v>0</v>
      </c>
      <c r="I333" s="2661">
        <v>3500</v>
      </c>
      <c r="J333" s="2662">
        <v>3500</v>
      </c>
      <c r="K333" s="2631"/>
      <c r="L333" s="2631"/>
      <c r="M333" s="2631"/>
      <c r="N333" s="2663">
        <v>0</v>
      </c>
      <c r="O333" s="2631"/>
      <c r="P333" s="2631"/>
      <c r="Q333" s="2631"/>
      <c r="R333" s="2631"/>
      <c r="S333" s="2631"/>
      <c r="T333" s="2631"/>
      <c r="U333" s="2660">
        <v>0</v>
      </c>
    </row>
    <row r="334" spans="1:21" ht="21" hidden="1" x14ac:dyDescent="0.35">
      <c r="A334" s="1240"/>
      <c r="B334" s="1219" t="s">
        <v>519</v>
      </c>
      <c r="C334" s="1217"/>
      <c r="D334" s="2757" t="s">
        <v>463</v>
      </c>
      <c r="E334" s="2757" t="s">
        <v>495</v>
      </c>
      <c r="F334" s="2757" t="s">
        <v>518</v>
      </c>
      <c r="G334" s="2758"/>
      <c r="H334" s="2660">
        <f>H335+H340</f>
        <v>0</v>
      </c>
      <c r="I334" s="2661">
        <f>I335+I340</f>
        <v>0</v>
      </c>
      <c r="J334" s="2662">
        <f>J335+J340</f>
        <v>0</v>
      </c>
      <c r="K334" s="2631"/>
      <c r="L334" s="2631"/>
      <c r="M334" s="2631"/>
      <c r="N334" s="2663">
        <f>N335+N340</f>
        <v>0</v>
      </c>
      <c r="O334" s="2631"/>
      <c r="P334" s="2631"/>
      <c r="Q334" s="2631"/>
      <c r="R334" s="2631"/>
      <c r="S334" s="2631"/>
      <c r="T334" s="2631"/>
      <c r="U334" s="2660">
        <f>U335+U340</f>
        <v>0</v>
      </c>
    </row>
    <row r="335" spans="1:21" ht="31.5" hidden="1" x14ac:dyDescent="0.35">
      <c r="A335" s="1240"/>
      <c r="B335" s="1219" t="s">
        <v>517</v>
      </c>
      <c r="C335" s="1217"/>
      <c r="D335" s="2757" t="s">
        <v>463</v>
      </c>
      <c r="E335" s="2757" t="s">
        <v>495</v>
      </c>
      <c r="F335" s="2757" t="s">
        <v>516</v>
      </c>
      <c r="G335" s="2758"/>
      <c r="H335" s="2660">
        <f>H336+H338</f>
        <v>0</v>
      </c>
      <c r="I335" s="2661">
        <f>I336+I338</f>
        <v>0</v>
      </c>
      <c r="J335" s="2662">
        <f>J336+J338</f>
        <v>0</v>
      </c>
      <c r="K335" s="2631"/>
      <c r="L335" s="2631"/>
      <c r="M335" s="2631"/>
      <c r="N335" s="2663">
        <f>N336+N338</f>
        <v>0</v>
      </c>
      <c r="O335" s="2631"/>
      <c r="P335" s="2631"/>
      <c r="Q335" s="2631"/>
      <c r="R335" s="2631"/>
      <c r="S335" s="2631"/>
      <c r="T335" s="2631"/>
      <c r="U335" s="2660">
        <f>U336+U338</f>
        <v>0</v>
      </c>
    </row>
    <row r="336" spans="1:21" ht="21" hidden="1" x14ac:dyDescent="0.35">
      <c r="A336" s="1229"/>
      <c r="B336" s="753" t="s">
        <v>515</v>
      </c>
      <c r="C336" s="1217"/>
      <c r="D336" s="2757" t="s">
        <v>463</v>
      </c>
      <c r="E336" s="2757" t="s">
        <v>495</v>
      </c>
      <c r="F336" s="2757" t="s">
        <v>514</v>
      </c>
      <c r="G336" s="2758"/>
      <c r="H336" s="2660">
        <f>H337</f>
        <v>0</v>
      </c>
      <c r="I336" s="2661">
        <f>I337</f>
        <v>0</v>
      </c>
      <c r="J336" s="2662">
        <f>J337</f>
        <v>0</v>
      </c>
      <c r="K336" s="2631"/>
      <c r="L336" s="2631"/>
      <c r="M336" s="2631"/>
      <c r="N336" s="2663">
        <f>N337</f>
        <v>0</v>
      </c>
      <c r="O336" s="2631"/>
      <c r="P336" s="2631"/>
      <c r="Q336" s="2631"/>
      <c r="R336" s="2631"/>
      <c r="S336" s="2631"/>
      <c r="T336" s="2631"/>
      <c r="U336" s="2660">
        <f>U337</f>
        <v>0</v>
      </c>
    </row>
    <row r="337" spans="1:21" ht="21" hidden="1" x14ac:dyDescent="0.35">
      <c r="A337" s="1229"/>
      <c r="B337" s="1182" t="s">
        <v>454</v>
      </c>
      <c r="C337" s="409"/>
      <c r="D337" s="2757" t="s">
        <v>463</v>
      </c>
      <c r="E337" s="2757" t="s">
        <v>495</v>
      </c>
      <c r="F337" s="2757" t="s">
        <v>514</v>
      </c>
      <c r="G337" s="2751" t="s">
        <v>1</v>
      </c>
      <c r="H337" s="2660"/>
      <c r="I337" s="2661"/>
      <c r="J337" s="2662"/>
      <c r="K337" s="2631"/>
      <c r="L337" s="2631"/>
      <c r="M337" s="2631"/>
      <c r="N337" s="2663"/>
      <c r="O337" s="2631"/>
      <c r="P337" s="2631"/>
      <c r="Q337" s="2631"/>
      <c r="R337" s="2631"/>
      <c r="S337" s="2631"/>
      <c r="T337" s="2631"/>
      <c r="U337" s="2660"/>
    </row>
    <row r="338" spans="1:21" ht="21" hidden="1" x14ac:dyDescent="0.35">
      <c r="A338" s="1229"/>
      <c r="B338" s="753" t="s">
        <v>513</v>
      </c>
      <c r="C338" s="1217"/>
      <c r="D338" s="2757" t="s">
        <v>463</v>
      </c>
      <c r="E338" s="2757" t="s">
        <v>495</v>
      </c>
      <c r="F338" s="2757" t="s">
        <v>512</v>
      </c>
      <c r="G338" s="2758"/>
      <c r="H338" s="2660">
        <f>H339</f>
        <v>0</v>
      </c>
      <c r="I338" s="2661">
        <f>I339</f>
        <v>0</v>
      </c>
      <c r="J338" s="2662">
        <f>J339</f>
        <v>0</v>
      </c>
      <c r="K338" s="2631"/>
      <c r="L338" s="2631"/>
      <c r="M338" s="2631"/>
      <c r="N338" s="2663">
        <f>N339</f>
        <v>0</v>
      </c>
      <c r="O338" s="2631"/>
      <c r="P338" s="2631"/>
      <c r="Q338" s="2631"/>
      <c r="R338" s="2631"/>
      <c r="S338" s="2631"/>
      <c r="T338" s="2631"/>
      <c r="U338" s="2660">
        <f>U339</f>
        <v>0</v>
      </c>
    </row>
    <row r="339" spans="1:21" ht="21" hidden="1" x14ac:dyDescent="0.35">
      <c r="A339" s="1229"/>
      <c r="B339" s="1182" t="s">
        <v>454</v>
      </c>
      <c r="C339" s="409"/>
      <c r="D339" s="2757" t="s">
        <v>463</v>
      </c>
      <c r="E339" s="2757" t="s">
        <v>495</v>
      </c>
      <c r="F339" s="2757" t="s">
        <v>512</v>
      </c>
      <c r="G339" s="2751" t="s">
        <v>1</v>
      </c>
      <c r="H339" s="2660"/>
      <c r="I339" s="2661"/>
      <c r="J339" s="2662"/>
      <c r="K339" s="2631"/>
      <c r="L339" s="2631"/>
      <c r="M339" s="2631"/>
      <c r="N339" s="2663"/>
      <c r="O339" s="2631"/>
      <c r="P339" s="2631"/>
      <c r="Q339" s="2631"/>
      <c r="R339" s="2631"/>
      <c r="S339" s="2631"/>
      <c r="T339" s="2631"/>
      <c r="U339" s="2660"/>
    </row>
    <row r="340" spans="1:21" ht="21" hidden="1" x14ac:dyDescent="0.35">
      <c r="A340" s="1179"/>
      <c r="B340" s="1247" t="s">
        <v>511</v>
      </c>
      <c r="C340" s="1227"/>
      <c r="D340" s="2759" t="s">
        <v>463</v>
      </c>
      <c r="E340" s="2759" t="s">
        <v>495</v>
      </c>
      <c r="F340" s="2759" t="s">
        <v>510</v>
      </c>
      <c r="G340" s="2760"/>
      <c r="H340" s="2664">
        <f>H341+H345</f>
        <v>0</v>
      </c>
      <c r="I340" s="2665">
        <f>I341+I345</f>
        <v>0</v>
      </c>
      <c r="J340" s="2679">
        <f>J341+J345</f>
        <v>0</v>
      </c>
      <c r="K340" s="2631"/>
      <c r="L340" s="2631"/>
      <c r="M340" s="2631"/>
      <c r="N340" s="2667">
        <f>N341+N345</f>
        <v>0</v>
      </c>
      <c r="O340" s="2631"/>
      <c r="P340" s="2631"/>
      <c r="Q340" s="2631"/>
      <c r="R340" s="2631"/>
      <c r="S340" s="2631"/>
      <c r="T340" s="2631"/>
      <c r="U340" s="2664">
        <f>U341+U345</f>
        <v>0</v>
      </c>
    </row>
    <row r="341" spans="1:21" hidden="1" x14ac:dyDescent="0.35">
      <c r="A341" s="842"/>
      <c r="B341" s="1224" t="s">
        <v>351</v>
      </c>
      <c r="C341" s="1217"/>
      <c r="D341" s="2757" t="s">
        <v>463</v>
      </c>
      <c r="E341" s="2757" t="s">
        <v>495</v>
      </c>
      <c r="F341" s="2757" t="s">
        <v>508</v>
      </c>
      <c r="G341" s="2758"/>
      <c r="H341" s="2660">
        <f>H342+H343+H344</f>
        <v>0</v>
      </c>
      <c r="I341" s="2661">
        <f>I342+I343+I344</f>
        <v>0</v>
      </c>
      <c r="J341" s="2662">
        <f>J342+J343+J344</f>
        <v>0</v>
      </c>
      <c r="K341" s="2631"/>
      <c r="L341" s="2631"/>
      <c r="M341" s="2631"/>
      <c r="N341" s="2663">
        <f>N342+N343+N344</f>
        <v>0</v>
      </c>
      <c r="O341" s="2631"/>
      <c r="P341" s="2631"/>
      <c r="Q341" s="2631"/>
      <c r="R341" s="2631"/>
      <c r="S341" s="2631"/>
      <c r="T341" s="2631"/>
      <c r="U341" s="2660">
        <f>U342+U343+U344</f>
        <v>0</v>
      </c>
    </row>
    <row r="342" spans="1:21" hidden="1" x14ac:dyDescent="0.35">
      <c r="A342" s="1179"/>
      <c r="B342" s="1182" t="s">
        <v>458</v>
      </c>
      <c r="C342" s="409"/>
      <c r="D342" s="2757" t="s">
        <v>463</v>
      </c>
      <c r="E342" s="2757" t="s">
        <v>495</v>
      </c>
      <c r="F342" s="2757" t="s">
        <v>508</v>
      </c>
      <c r="G342" s="2751" t="s">
        <v>255</v>
      </c>
      <c r="H342" s="2660"/>
      <c r="I342" s="2661"/>
      <c r="J342" s="2662"/>
      <c r="K342" s="2631"/>
      <c r="L342" s="2631"/>
      <c r="M342" s="2631"/>
      <c r="N342" s="2663"/>
      <c r="O342" s="2631"/>
      <c r="P342" s="2631"/>
      <c r="Q342" s="2631"/>
      <c r="R342" s="2631"/>
      <c r="S342" s="2631"/>
      <c r="T342" s="2631"/>
      <c r="U342" s="2660"/>
    </row>
    <row r="343" spans="1:21" ht="21" hidden="1" x14ac:dyDescent="0.35">
      <c r="A343" s="1179"/>
      <c r="B343" s="1182" t="s">
        <v>454</v>
      </c>
      <c r="C343" s="409"/>
      <c r="D343" s="2757" t="s">
        <v>463</v>
      </c>
      <c r="E343" s="2757" t="s">
        <v>495</v>
      </c>
      <c r="F343" s="2757" t="s">
        <v>508</v>
      </c>
      <c r="G343" s="2751" t="s">
        <v>1</v>
      </c>
      <c r="H343" s="2660"/>
      <c r="I343" s="2661"/>
      <c r="J343" s="2662"/>
      <c r="K343" s="2631"/>
      <c r="L343" s="2631"/>
      <c r="M343" s="2631"/>
      <c r="N343" s="2663"/>
      <c r="O343" s="2631"/>
      <c r="P343" s="2631"/>
      <c r="Q343" s="2631"/>
      <c r="R343" s="2631"/>
      <c r="S343" s="2631"/>
      <c r="T343" s="2631"/>
      <c r="U343" s="2660"/>
    </row>
    <row r="344" spans="1:21" hidden="1" x14ac:dyDescent="0.35">
      <c r="A344" s="1179"/>
      <c r="B344" s="1182" t="s">
        <v>457</v>
      </c>
      <c r="C344" s="409"/>
      <c r="D344" s="2757" t="s">
        <v>463</v>
      </c>
      <c r="E344" s="2757" t="s">
        <v>495</v>
      </c>
      <c r="F344" s="2757" t="s">
        <v>508</v>
      </c>
      <c r="G344" s="2751" t="s">
        <v>91</v>
      </c>
      <c r="H344" s="2660"/>
      <c r="I344" s="2661"/>
      <c r="J344" s="2662"/>
      <c r="K344" s="2631"/>
      <c r="L344" s="2631"/>
      <c r="M344" s="2631"/>
      <c r="N344" s="2663"/>
      <c r="O344" s="2631"/>
      <c r="P344" s="2631"/>
      <c r="Q344" s="2631"/>
      <c r="R344" s="2631"/>
      <c r="S344" s="2631"/>
      <c r="T344" s="2631"/>
      <c r="U344" s="2660"/>
    </row>
    <row r="345" spans="1:21" ht="15" hidden="1" customHeight="1" x14ac:dyDescent="0.35">
      <c r="A345" s="842"/>
      <c r="B345" s="1180"/>
      <c r="C345" s="1217"/>
      <c r="D345" s="2757" t="s">
        <v>463</v>
      </c>
      <c r="E345" s="2757" t="s">
        <v>495</v>
      </c>
      <c r="F345" s="2757" t="s">
        <v>183</v>
      </c>
      <c r="G345" s="2758"/>
      <c r="H345" s="2660">
        <f>H346</f>
        <v>0</v>
      </c>
      <c r="I345" s="2661">
        <f>I346</f>
        <v>0</v>
      </c>
      <c r="J345" s="2662">
        <f>J346</f>
        <v>0</v>
      </c>
      <c r="K345" s="2631"/>
      <c r="L345" s="2631"/>
      <c r="M345" s="2631"/>
      <c r="N345" s="2663">
        <f>N346</f>
        <v>0</v>
      </c>
      <c r="O345" s="2631"/>
      <c r="P345" s="2631"/>
      <c r="Q345" s="2631"/>
      <c r="R345" s="2631"/>
      <c r="S345" s="2631"/>
      <c r="T345" s="2631"/>
      <c r="U345" s="2660">
        <f>U346</f>
        <v>0</v>
      </c>
    </row>
    <row r="346" spans="1:21" ht="30.75" hidden="1" customHeight="1" x14ac:dyDescent="0.35">
      <c r="A346" s="1179"/>
      <c r="B346" s="1191" t="s">
        <v>916</v>
      </c>
      <c r="C346" s="1193"/>
      <c r="D346" s="2764" t="s">
        <v>463</v>
      </c>
      <c r="E346" s="2764" t="s">
        <v>495</v>
      </c>
      <c r="F346" s="2764" t="s">
        <v>183</v>
      </c>
      <c r="G346" s="2753" t="s">
        <v>521</v>
      </c>
      <c r="H346" s="2660">
        <f>722.93+5324.558+935-6982.488</f>
        <v>0</v>
      </c>
      <c r="I346" s="2661"/>
      <c r="J346" s="2662"/>
      <c r="K346" s="2631"/>
      <c r="L346" s="2631"/>
      <c r="M346" s="2631"/>
      <c r="N346" s="2663">
        <f>722.93+5324.558+935-6982.488</f>
        <v>0</v>
      </c>
      <c r="O346" s="2631"/>
      <c r="P346" s="2631"/>
      <c r="Q346" s="2631"/>
      <c r="R346" s="2631"/>
      <c r="S346" s="2631"/>
      <c r="T346" s="2631"/>
      <c r="U346" s="2660">
        <f>722.93+5324.558+935-6982.488</f>
        <v>0</v>
      </c>
    </row>
    <row r="347" spans="1:21" ht="30.75" hidden="1" customHeight="1" x14ac:dyDescent="0.35">
      <c r="A347" s="732"/>
      <c r="B347" s="1869" t="s">
        <v>1013</v>
      </c>
      <c r="C347" s="1193"/>
      <c r="D347" s="2764" t="s">
        <v>463</v>
      </c>
      <c r="E347" s="2764" t="s">
        <v>495</v>
      </c>
      <c r="F347" s="2750" t="s">
        <v>1014</v>
      </c>
      <c r="G347" s="2753"/>
      <c r="H347" s="2660">
        <f>H348</f>
        <v>0</v>
      </c>
      <c r="I347" s="2661"/>
      <c r="J347" s="2662"/>
      <c r="K347" s="2631"/>
      <c r="L347" s="2631"/>
      <c r="M347" s="2631"/>
      <c r="N347" s="2680"/>
      <c r="O347" s="2631"/>
      <c r="P347" s="2631"/>
      <c r="Q347" s="2631"/>
      <c r="R347" s="2631"/>
      <c r="S347" s="2631"/>
      <c r="T347" s="2631"/>
      <c r="U347" s="2660"/>
    </row>
    <row r="348" spans="1:21" ht="30.75" hidden="1" customHeight="1" x14ac:dyDescent="0.35">
      <c r="A348" s="732"/>
      <c r="B348" s="1870" t="s">
        <v>1015</v>
      </c>
      <c r="C348" s="1193"/>
      <c r="D348" s="2764" t="s">
        <v>463</v>
      </c>
      <c r="E348" s="2764" t="s">
        <v>495</v>
      </c>
      <c r="F348" s="2765" t="s">
        <v>1016</v>
      </c>
      <c r="G348" s="2753"/>
      <c r="H348" s="2660">
        <f>H349</f>
        <v>0</v>
      </c>
      <c r="I348" s="2661"/>
      <c r="J348" s="2662"/>
      <c r="K348" s="2631"/>
      <c r="L348" s="2631"/>
      <c r="M348" s="2631"/>
      <c r="N348" s="2680"/>
      <c r="O348" s="2631"/>
      <c r="P348" s="2631"/>
      <c r="Q348" s="2631"/>
      <c r="R348" s="2631"/>
      <c r="S348" s="2631"/>
      <c r="T348" s="2631"/>
      <c r="U348" s="2660"/>
    </row>
    <row r="349" spans="1:21" ht="30.75" hidden="1" customHeight="1" x14ac:dyDescent="0.35">
      <c r="A349" s="732"/>
      <c r="B349" s="1871" t="s">
        <v>1017</v>
      </c>
      <c r="C349" s="1193"/>
      <c r="D349" s="2764" t="s">
        <v>463</v>
      </c>
      <c r="E349" s="2764" t="s">
        <v>495</v>
      </c>
      <c r="F349" s="2750" t="s">
        <v>1018</v>
      </c>
      <c r="G349" s="2753"/>
      <c r="H349" s="2660">
        <f>H350</f>
        <v>0</v>
      </c>
      <c r="I349" s="2661"/>
      <c r="J349" s="2662"/>
      <c r="K349" s="2631"/>
      <c r="L349" s="2631"/>
      <c r="M349" s="2631"/>
      <c r="N349" s="2680"/>
      <c r="O349" s="2631"/>
      <c r="P349" s="2631"/>
      <c r="Q349" s="2631"/>
      <c r="R349" s="2631"/>
      <c r="S349" s="2631"/>
      <c r="T349" s="2631"/>
      <c r="U349" s="2660"/>
    </row>
    <row r="350" spans="1:21" ht="30.75" hidden="1" customHeight="1" x14ac:dyDescent="0.35">
      <c r="A350" s="732"/>
      <c r="B350" s="1182" t="s">
        <v>454</v>
      </c>
      <c r="C350" s="1193"/>
      <c r="D350" s="2764" t="s">
        <v>463</v>
      </c>
      <c r="E350" s="2764" t="s">
        <v>495</v>
      </c>
      <c r="F350" s="2750" t="s">
        <v>1018</v>
      </c>
      <c r="G350" s="2753" t="s">
        <v>1</v>
      </c>
      <c r="H350" s="2660"/>
      <c r="I350" s="2661"/>
      <c r="J350" s="2662"/>
      <c r="K350" s="2631"/>
      <c r="L350" s="2631"/>
      <c r="M350" s="2631"/>
      <c r="N350" s="2680"/>
      <c r="O350" s="2631"/>
      <c r="P350" s="2631"/>
      <c r="Q350" s="2631"/>
      <c r="R350" s="2631"/>
      <c r="S350" s="2631"/>
      <c r="T350" s="2631"/>
      <c r="U350" s="2660"/>
    </row>
    <row r="351" spans="1:21" ht="30.75" customHeight="1" x14ac:dyDescent="0.35">
      <c r="A351" s="732"/>
      <c r="B351" s="1203" t="s">
        <v>1059</v>
      </c>
      <c r="C351" s="1193"/>
      <c r="D351" s="2757" t="s">
        <v>463</v>
      </c>
      <c r="E351" s="2757" t="s">
        <v>495</v>
      </c>
      <c r="F351" s="2750" t="s">
        <v>468</v>
      </c>
      <c r="G351" s="2753"/>
      <c r="H351" s="2660">
        <f>H352</f>
        <v>2434.1125999999999</v>
      </c>
      <c r="I351" s="2661"/>
      <c r="J351" s="2662"/>
      <c r="K351" s="2631"/>
      <c r="L351" s="2631"/>
      <c r="M351" s="2631"/>
      <c r="N351" s="2680">
        <v>70</v>
      </c>
      <c r="O351" s="2631"/>
      <c r="P351" s="2631"/>
      <c r="Q351" s="2631"/>
      <c r="R351" s="2631"/>
      <c r="S351" s="2631"/>
      <c r="T351" s="2631"/>
      <c r="U351" s="2660">
        <f>U352</f>
        <v>500</v>
      </c>
    </row>
    <row r="352" spans="1:21" ht="30.75" customHeight="1" x14ac:dyDescent="0.35">
      <c r="A352" s="732"/>
      <c r="B352" s="1242" t="s">
        <v>1053</v>
      </c>
      <c r="C352" s="1193"/>
      <c r="D352" s="2757" t="s">
        <v>463</v>
      </c>
      <c r="E352" s="2757" t="s">
        <v>495</v>
      </c>
      <c r="F352" s="2750" t="s">
        <v>857</v>
      </c>
      <c r="G352" s="2753"/>
      <c r="H352" s="2660">
        <f>H353</f>
        <v>2434.1125999999999</v>
      </c>
      <c r="I352" s="2661"/>
      <c r="J352" s="2662"/>
      <c r="K352" s="2631"/>
      <c r="L352" s="2631"/>
      <c r="M352" s="2631"/>
      <c r="N352" s="2680">
        <f>N353</f>
        <v>624.56500000000005</v>
      </c>
      <c r="O352" s="2631"/>
      <c r="P352" s="2631"/>
      <c r="Q352" s="2631"/>
      <c r="R352" s="2631"/>
      <c r="S352" s="2631"/>
      <c r="T352" s="2631"/>
      <c r="U352" s="2660">
        <f>U353</f>
        <v>500</v>
      </c>
    </row>
    <row r="353" spans="1:26" ht="30.75" customHeight="1" x14ac:dyDescent="0.35">
      <c r="A353" s="732"/>
      <c r="B353" s="1242" t="s">
        <v>467</v>
      </c>
      <c r="C353" s="409"/>
      <c r="D353" s="2757" t="s">
        <v>463</v>
      </c>
      <c r="E353" s="2757" t="s">
        <v>495</v>
      </c>
      <c r="F353" s="2750" t="s">
        <v>858</v>
      </c>
      <c r="G353" s="2753"/>
      <c r="H353" s="2660">
        <f>H354</f>
        <v>2434.1125999999999</v>
      </c>
      <c r="I353" s="2661"/>
      <c r="J353" s="2662"/>
      <c r="K353" s="2631"/>
      <c r="L353" s="2631"/>
      <c r="M353" s="2631"/>
      <c r="N353" s="2680">
        <f>N354</f>
        <v>624.56500000000005</v>
      </c>
      <c r="O353" s="2631"/>
      <c r="P353" s="2631"/>
      <c r="Q353" s="2631"/>
      <c r="R353" s="2631"/>
      <c r="S353" s="2631"/>
      <c r="T353" s="2631"/>
      <c r="U353" s="2660">
        <f>U354</f>
        <v>500</v>
      </c>
    </row>
    <row r="354" spans="1:26" ht="30.75" customHeight="1" x14ac:dyDescent="0.35">
      <c r="A354" s="732"/>
      <c r="B354" s="1242" t="s">
        <v>1054</v>
      </c>
      <c r="C354" s="1193"/>
      <c r="D354" s="2757" t="s">
        <v>463</v>
      </c>
      <c r="E354" s="2757" t="s">
        <v>495</v>
      </c>
      <c r="F354" s="2750" t="s">
        <v>1055</v>
      </c>
      <c r="G354" s="2753"/>
      <c r="H354" s="2660">
        <f>H356</f>
        <v>2434.1125999999999</v>
      </c>
      <c r="I354" s="2661"/>
      <c r="J354" s="2662"/>
      <c r="K354" s="2631"/>
      <c r="L354" s="2631"/>
      <c r="M354" s="2631"/>
      <c r="N354" s="2680">
        <f>N356</f>
        <v>624.56500000000005</v>
      </c>
      <c r="O354" s="2631"/>
      <c r="P354" s="2631"/>
      <c r="Q354" s="2631"/>
      <c r="R354" s="2631"/>
      <c r="S354" s="2631"/>
      <c r="T354" s="2631"/>
      <c r="U354" s="2660">
        <f>U356</f>
        <v>500</v>
      </c>
    </row>
    <row r="355" spans="1:26" ht="23.15" customHeight="1" x14ac:dyDescent="0.35">
      <c r="A355" s="732"/>
      <c r="B355" s="1182" t="s">
        <v>1048</v>
      </c>
      <c r="C355" s="1193"/>
      <c r="D355" s="2757" t="s">
        <v>463</v>
      </c>
      <c r="E355" s="2757" t="s">
        <v>495</v>
      </c>
      <c r="F355" s="2750" t="s">
        <v>1055</v>
      </c>
      <c r="G355" s="2753" t="s">
        <v>955</v>
      </c>
      <c r="H355" s="2660">
        <v>2354.1120000000001</v>
      </c>
      <c r="I355" s="2661"/>
      <c r="J355" s="2662"/>
      <c r="K355" s="2631"/>
      <c r="L355" s="2631"/>
      <c r="M355" s="2631"/>
      <c r="N355" s="2680">
        <v>500</v>
      </c>
      <c r="O355" s="2631"/>
      <c r="P355" s="2631"/>
      <c r="Q355" s="2631"/>
      <c r="R355" s="2631"/>
      <c r="S355" s="2631"/>
      <c r="T355" s="2631"/>
      <c r="U355" s="2660">
        <v>500</v>
      </c>
    </row>
    <row r="356" spans="1:26" ht="30.75" customHeight="1" x14ac:dyDescent="0.35">
      <c r="A356" s="732"/>
      <c r="B356" s="1182" t="s">
        <v>454</v>
      </c>
      <c r="C356" s="1193"/>
      <c r="D356" s="2757" t="s">
        <v>463</v>
      </c>
      <c r="E356" s="2757" t="s">
        <v>495</v>
      </c>
      <c r="F356" s="2750" t="s">
        <v>1055</v>
      </c>
      <c r="G356" s="2753" t="s">
        <v>1</v>
      </c>
      <c r="H356" s="2681">
        <v>2434.1125999999999</v>
      </c>
      <c r="I356" s="2682"/>
      <c r="J356" s="2683"/>
      <c r="K356" s="2684"/>
      <c r="L356" s="2685"/>
      <c r="M356" s="2631"/>
      <c r="N356" s="2660">
        <v>624.56500000000005</v>
      </c>
      <c r="O356" s="2631"/>
      <c r="P356" s="2686">
        <v>500</v>
      </c>
      <c r="Q356" s="2686">
        <v>500</v>
      </c>
      <c r="R356" s="2631"/>
      <c r="S356" s="2631"/>
      <c r="T356" s="2631"/>
      <c r="U356" s="2660">
        <v>500</v>
      </c>
      <c r="Z356" s="1">
        <v>2136.73</v>
      </c>
    </row>
    <row r="357" spans="1:26" ht="30.75" customHeight="1" x14ac:dyDescent="0.35">
      <c r="A357" s="732"/>
      <c r="B357" s="1242" t="s">
        <v>1141</v>
      </c>
      <c r="C357" s="1193"/>
      <c r="D357" s="2757" t="s">
        <v>463</v>
      </c>
      <c r="E357" s="2757" t="s">
        <v>495</v>
      </c>
      <c r="F357" s="2750" t="s">
        <v>1142</v>
      </c>
      <c r="G357" s="2753"/>
      <c r="H357" s="2660">
        <f>H358</f>
        <v>945.56500000000005</v>
      </c>
      <c r="I357" s="2682"/>
      <c r="J357" s="2687"/>
      <c r="K357" s="2688"/>
      <c r="L357" s="2688"/>
      <c r="M357" s="2631"/>
      <c r="N357" s="2660">
        <f>N358</f>
        <v>124.565</v>
      </c>
      <c r="O357" s="2631"/>
      <c r="P357" s="2689"/>
      <c r="Q357" s="2689"/>
      <c r="R357" s="2631"/>
      <c r="S357" s="2631"/>
      <c r="T357" s="2631"/>
      <c r="U357" s="2660">
        <f>U358</f>
        <v>0</v>
      </c>
    </row>
    <row r="358" spans="1:26" ht="33" customHeight="1" x14ac:dyDescent="0.35">
      <c r="A358" s="732"/>
      <c r="B358" s="1242" t="s">
        <v>1144</v>
      </c>
      <c r="C358" s="1193"/>
      <c r="D358" s="2757" t="s">
        <v>463</v>
      </c>
      <c r="E358" s="2757" t="s">
        <v>495</v>
      </c>
      <c r="F358" s="2750" t="s">
        <v>1143</v>
      </c>
      <c r="G358" s="2753"/>
      <c r="H358" s="2660">
        <f>H359</f>
        <v>945.56500000000005</v>
      </c>
      <c r="I358" s="2682"/>
      <c r="J358" s="2687"/>
      <c r="K358" s="2688"/>
      <c r="L358" s="2688"/>
      <c r="M358" s="2631"/>
      <c r="N358" s="2660">
        <f>N359</f>
        <v>124.565</v>
      </c>
      <c r="O358" s="2631"/>
      <c r="P358" s="2689"/>
      <c r="Q358" s="2689"/>
      <c r="R358" s="2631"/>
      <c r="S358" s="2631"/>
      <c r="T358" s="2631"/>
      <c r="U358" s="2660">
        <f>U359</f>
        <v>0</v>
      </c>
    </row>
    <row r="359" spans="1:26" ht="27.75" customHeight="1" x14ac:dyDescent="0.35">
      <c r="A359" s="732"/>
      <c r="B359" s="1242" t="s">
        <v>1150</v>
      </c>
      <c r="C359" s="1193"/>
      <c r="D359" s="2757" t="s">
        <v>463</v>
      </c>
      <c r="E359" s="2757" t="s">
        <v>495</v>
      </c>
      <c r="F359" s="2750" t="s">
        <v>1143</v>
      </c>
      <c r="G359" s="2753"/>
      <c r="H359" s="2660">
        <f>H360</f>
        <v>945.56500000000005</v>
      </c>
      <c r="I359" s="2682"/>
      <c r="J359" s="2687"/>
      <c r="K359" s="2688"/>
      <c r="L359" s="2688"/>
      <c r="M359" s="2631"/>
      <c r="N359" s="2660">
        <f>N360</f>
        <v>124.565</v>
      </c>
      <c r="O359" s="2631"/>
      <c r="P359" s="2689"/>
      <c r="Q359" s="2689"/>
      <c r="R359" s="2631"/>
      <c r="S359" s="2631"/>
      <c r="T359" s="2631"/>
      <c r="U359" s="2660">
        <f>U360</f>
        <v>0</v>
      </c>
    </row>
    <row r="360" spans="1:26" ht="30.75" customHeight="1" x14ac:dyDescent="0.35">
      <c r="A360" s="732"/>
      <c r="B360" s="1182" t="s">
        <v>1048</v>
      </c>
      <c r="C360" s="1193"/>
      <c r="D360" s="2757" t="s">
        <v>463</v>
      </c>
      <c r="E360" s="2757" t="s">
        <v>495</v>
      </c>
      <c r="F360" s="2750" t="s">
        <v>1145</v>
      </c>
      <c r="G360" s="2753" t="s">
        <v>955</v>
      </c>
      <c r="H360" s="2660">
        <f>H361</f>
        <v>945.56500000000005</v>
      </c>
      <c r="I360" s="2682"/>
      <c r="J360" s="2687"/>
      <c r="K360" s="2688"/>
      <c r="L360" s="2688"/>
      <c r="M360" s="2631"/>
      <c r="N360" s="2660">
        <f>N361</f>
        <v>124.565</v>
      </c>
      <c r="O360" s="2631"/>
      <c r="P360" s="2689"/>
      <c r="Q360" s="2689"/>
      <c r="R360" s="2631"/>
      <c r="S360" s="2631"/>
      <c r="T360" s="2631"/>
      <c r="U360" s="2660">
        <f>U361</f>
        <v>0</v>
      </c>
    </row>
    <row r="361" spans="1:26" ht="30.75" customHeight="1" x14ac:dyDescent="0.35">
      <c r="A361" s="732"/>
      <c r="B361" s="1182" t="s">
        <v>454</v>
      </c>
      <c r="C361" s="1193"/>
      <c r="D361" s="2757" t="s">
        <v>463</v>
      </c>
      <c r="E361" s="2757" t="s">
        <v>495</v>
      </c>
      <c r="F361" s="2750" t="s">
        <v>1145</v>
      </c>
      <c r="G361" s="2753" t="s">
        <v>1</v>
      </c>
      <c r="H361" s="2660">
        <v>945.56500000000005</v>
      </c>
      <c r="I361" s="2661"/>
      <c r="J361" s="2662"/>
      <c r="K361" s="2631"/>
      <c r="L361" s="2631"/>
      <c r="M361" s="2631"/>
      <c r="N361" s="2680">
        <v>124.565</v>
      </c>
      <c r="O361" s="2631"/>
      <c r="P361" s="2631"/>
      <c r="Q361" s="2631"/>
      <c r="R361" s="2631"/>
      <c r="S361" s="2631"/>
      <c r="T361" s="2631"/>
      <c r="U361" s="2660">
        <v>0</v>
      </c>
    </row>
    <row r="362" spans="1:26" ht="30.75" customHeight="1" x14ac:dyDescent="0.35">
      <c r="A362" s="732"/>
      <c r="B362" s="1242" t="s">
        <v>1049</v>
      </c>
      <c r="C362" s="1193"/>
      <c r="D362" s="2759" t="s">
        <v>463</v>
      </c>
      <c r="E362" s="2759" t="s">
        <v>495</v>
      </c>
      <c r="F362" s="2750" t="s">
        <v>1045</v>
      </c>
      <c r="G362" s="2753"/>
      <c r="H362" s="2660">
        <f>H363</f>
        <v>1230.1120000000001</v>
      </c>
      <c r="I362" s="2661"/>
      <c r="J362" s="2662"/>
      <c r="K362" s="2631"/>
      <c r="L362" s="2631"/>
      <c r="M362" s="2631"/>
      <c r="N362" s="2680">
        <f>N363</f>
        <v>874.66700000000003</v>
      </c>
      <c r="O362" s="2631"/>
      <c r="P362" s="2631"/>
      <c r="Q362" s="2631"/>
      <c r="R362" s="2631"/>
      <c r="S362" s="2631"/>
      <c r="T362" s="2631"/>
      <c r="U362" s="2660">
        <f>U363</f>
        <v>0</v>
      </c>
    </row>
    <row r="363" spans="1:26" ht="30.75" customHeight="1" x14ac:dyDescent="0.35">
      <c r="A363" s="732"/>
      <c r="B363" s="1242" t="s">
        <v>1050</v>
      </c>
      <c r="C363" s="1193"/>
      <c r="D363" s="2757" t="s">
        <v>463</v>
      </c>
      <c r="E363" s="2757" t="s">
        <v>495</v>
      </c>
      <c r="F363" s="2750" t="s">
        <v>1046</v>
      </c>
      <c r="G363" s="2753"/>
      <c r="H363" s="2660">
        <f>H364</f>
        <v>1230.1120000000001</v>
      </c>
      <c r="I363" s="2661"/>
      <c r="J363" s="2662"/>
      <c r="K363" s="2631"/>
      <c r="L363" s="2631"/>
      <c r="M363" s="2631"/>
      <c r="N363" s="2680">
        <f>N364</f>
        <v>874.66700000000003</v>
      </c>
      <c r="O363" s="2631"/>
      <c r="P363" s="2631"/>
      <c r="Q363" s="2631"/>
      <c r="R363" s="2631"/>
      <c r="S363" s="2631"/>
      <c r="T363" s="2631"/>
      <c r="U363" s="2660">
        <f>U364</f>
        <v>0</v>
      </c>
    </row>
    <row r="364" spans="1:26" ht="30.75" customHeight="1" x14ac:dyDescent="0.35">
      <c r="A364" s="732"/>
      <c r="B364" s="1242" t="s">
        <v>1051</v>
      </c>
      <c r="C364" s="1193"/>
      <c r="D364" s="2757" t="s">
        <v>463</v>
      </c>
      <c r="E364" s="2757" t="s">
        <v>495</v>
      </c>
      <c r="F364" s="2750" t="s">
        <v>1052</v>
      </c>
      <c r="G364" s="2753"/>
      <c r="H364" s="2660">
        <f>H366</f>
        <v>1230.1120000000001</v>
      </c>
      <c r="I364" s="2661"/>
      <c r="J364" s="2662"/>
      <c r="K364" s="2631"/>
      <c r="L364" s="2631"/>
      <c r="M364" s="2631"/>
      <c r="N364" s="2680">
        <f>N366</f>
        <v>874.66700000000003</v>
      </c>
      <c r="O364" s="2631"/>
      <c r="P364" s="2631"/>
      <c r="Q364" s="2631"/>
      <c r="R364" s="2631"/>
      <c r="S364" s="2631"/>
      <c r="T364" s="2631"/>
      <c r="U364" s="2660">
        <f>U366</f>
        <v>0</v>
      </c>
    </row>
    <row r="365" spans="1:26" ht="22" customHeight="1" x14ac:dyDescent="0.35">
      <c r="A365" s="732"/>
      <c r="B365" s="1242" t="s">
        <v>1048</v>
      </c>
      <c r="C365" s="1193"/>
      <c r="D365" s="2757" t="s">
        <v>463</v>
      </c>
      <c r="E365" s="2757" t="s">
        <v>495</v>
      </c>
      <c r="F365" s="2750" t="s">
        <v>1052</v>
      </c>
      <c r="G365" s="2753" t="s">
        <v>955</v>
      </c>
      <c r="H365" s="2660">
        <f>H366</f>
        <v>1230.1120000000001</v>
      </c>
      <c r="I365" s="2661"/>
      <c r="J365" s="2662"/>
      <c r="K365" s="2631"/>
      <c r="L365" s="2631"/>
      <c r="M365" s="2631"/>
      <c r="N365" s="2680">
        <f>N366</f>
        <v>874.66700000000003</v>
      </c>
      <c r="O365" s="2631"/>
      <c r="P365" s="2631"/>
      <c r="Q365" s="2631"/>
      <c r="R365" s="2631"/>
      <c r="S365" s="2631"/>
      <c r="T365" s="2631"/>
      <c r="U365" s="2660">
        <f>U366</f>
        <v>0</v>
      </c>
    </row>
    <row r="366" spans="1:26" ht="30.75" customHeight="1" x14ac:dyDescent="0.35">
      <c r="A366" s="732"/>
      <c r="B366" s="1182" t="s">
        <v>4</v>
      </c>
      <c r="C366" s="1193"/>
      <c r="D366" s="2757" t="s">
        <v>463</v>
      </c>
      <c r="E366" s="2757" t="s">
        <v>495</v>
      </c>
      <c r="F366" s="2750" t="s">
        <v>1052</v>
      </c>
      <c r="G366" s="2753" t="s">
        <v>1</v>
      </c>
      <c r="H366" s="2660">
        <v>1230.1120000000001</v>
      </c>
      <c r="I366" s="2661"/>
      <c r="J366" s="2662"/>
      <c r="K366" s="2631"/>
      <c r="L366" s="2631"/>
      <c r="M366" s="2631"/>
      <c r="N366" s="2680">
        <v>874.66700000000003</v>
      </c>
      <c r="O366" s="2631"/>
      <c r="P366" s="2631"/>
      <c r="Q366" s="2631"/>
      <c r="R366" s="2631"/>
      <c r="S366" s="2631"/>
      <c r="T366" s="2631"/>
      <c r="U366" s="2660">
        <v>0</v>
      </c>
      <c r="Z366" s="1">
        <v>643.25</v>
      </c>
    </row>
    <row r="367" spans="1:26" ht="37" customHeight="1" x14ac:dyDescent="0.35">
      <c r="A367" s="732"/>
      <c r="B367" s="1872" t="s">
        <v>1095</v>
      </c>
      <c r="C367" s="409"/>
      <c r="D367" s="2759" t="s">
        <v>463</v>
      </c>
      <c r="E367" s="2759" t="s">
        <v>495</v>
      </c>
      <c r="F367" s="2750" t="s">
        <v>952</v>
      </c>
      <c r="G367" s="2766"/>
      <c r="H367" s="2660">
        <f>H371+H373</f>
        <v>1074.8839</v>
      </c>
      <c r="I367" s="2661"/>
      <c r="J367" s="2662"/>
      <c r="K367" s="2631"/>
      <c r="L367" s="2631"/>
      <c r="M367" s="2631"/>
      <c r="N367" s="2680">
        <f>N371+N373</f>
        <v>901</v>
      </c>
      <c r="O367" s="2631"/>
      <c r="P367" s="2631"/>
      <c r="Q367" s="2631"/>
      <c r="R367" s="2631"/>
      <c r="S367" s="2631"/>
      <c r="T367" s="2631"/>
      <c r="U367" s="2660">
        <f>U371+U373</f>
        <v>2000</v>
      </c>
    </row>
    <row r="368" spans="1:26" ht="30.75" customHeight="1" x14ac:dyDescent="0.35">
      <c r="A368" s="732"/>
      <c r="B368" s="1873" t="s">
        <v>1129</v>
      </c>
      <c r="C368" s="409"/>
      <c r="D368" s="2750" t="s">
        <v>463</v>
      </c>
      <c r="E368" s="2750" t="s">
        <v>495</v>
      </c>
      <c r="F368" s="2750" t="s">
        <v>953</v>
      </c>
      <c r="G368" s="2767"/>
      <c r="H368" s="2660">
        <f>H369</f>
        <v>0</v>
      </c>
      <c r="I368" s="2661"/>
      <c r="J368" s="2662"/>
      <c r="K368" s="2631"/>
      <c r="L368" s="2631"/>
      <c r="M368" s="2631"/>
      <c r="N368" s="2680">
        <f>N369</f>
        <v>0</v>
      </c>
      <c r="O368" s="2631"/>
      <c r="P368" s="2631"/>
      <c r="Q368" s="2631"/>
      <c r="R368" s="2631"/>
      <c r="S368" s="2631"/>
      <c r="T368" s="2631"/>
      <c r="U368" s="2660">
        <f>U369</f>
        <v>1000</v>
      </c>
    </row>
    <row r="369" spans="1:26" ht="30.75" customHeight="1" x14ac:dyDescent="0.35">
      <c r="A369" s="732"/>
      <c r="B369" s="1874" t="s">
        <v>1128</v>
      </c>
      <c r="C369" s="409"/>
      <c r="D369" s="2750" t="s">
        <v>463</v>
      </c>
      <c r="E369" s="2750" t="s">
        <v>495</v>
      </c>
      <c r="F369" s="2750" t="s">
        <v>1127</v>
      </c>
      <c r="G369" s="2768"/>
      <c r="H369" s="2660">
        <f>H370</f>
        <v>0</v>
      </c>
      <c r="I369" s="2661"/>
      <c r="J369" s="2662"/>
      <c r="K369" s="2631"/>
      <c r="L369" s="2631"/>
      <c r="M369" s="2631"/>
      <c r="N369" s="2680">
        <f>N370</f>
        <v>0</v>
      </c>
      <c r="O369" s="2631"/>
      <c r="P369" s="2631"/>
      <c r="Q369" s="2631"/>
      <c r="R369" s="2631"/>
      <c r="S369" s="2631"/>
      <c r="T369" s="2631"/>
      <c r="U369" s="2660">
        <f>U370</f>
        <v>1000</v>
      </c>
    </row>
    <row r="370" spans="1:26" ht="30.75" customHeight="1" x14ac:dyDescent="0.35">
      <c r="A370" s="732"/>
      <c r="B370" s="753" t="s">
        <v>948</v>
      </c>
      <c r="C370" s="409"/>
      <c r="D370" s="2757" t="s">
        <v>463</v>
      </c>
      <c r="E370" s="2757" t="s">
        <v>495</v>
      </c>
      <c r="F370" s="2750" t="s">
        <v>1127</v>
      </c>
      <c r="G370" s="2769" t="s">
        <v>955</v>
      </c>
      <c r="H370" s="2660">
        <f>H371</f>
        <v>0</v>
      </c>
      <c r="I370" s="2661"/>
      <c r="J370" s="2662"/>
      <c r="K370" s="2631"/>
      <c r="L370" s="2631"/>
      <c r="M370" s="2631"/>
      <c r="N370" s="2680">
        <f>N371</f>
        <v>0</v>
      </c>
      <c r="O370" s="2631"/>
      <c r="P370" s="2631"/>
      <c r="Q370" s="2631"/>
      <c r="R370" s="2631"/>
      <c r="S370" s="2631"/>
      <c r="T370" s="2631"/>
      <c r="U370" s="2660">
        <f>U371</f>
        <v>1000</v>
      </c>
    </row>
    <row r="371" spans="1:26" ht="30.75" customHeight="1" x14ac:dyDescent="0.35">
      <c r="A371" s="732"/>
      <c r="B371" s="1182" t="s">
        <v>454</v>
      </c>
      <c r="C371" s="409"/>
      <c r="D371" s="2757" t="s">
        <v>463</v>
      </c>
      <c r="E371" s="2757" t="s">
        <v>495</v>
      </c>
      <c r="F371" s="2750" t="s">
        <v>1127</v>
      </c>
      <c r="G371" s="2751" t="s">
        <v>1</v>
      </c>
      <c r="H371" s="2660">
        <f>H372</f>
        <v>0</v>
      </c>
      <c r="I371" s="2661"/>
      <c r="J371" s="2662"/>
      <c r="K371" s="2631">
        <v>450</v>
      </c>
      <c r="L371" s="2631"/>
      <c r="M371" s="2631"/>
      <c r="N371" s="2680">
        <f>N372</f>
        <v>0</v>
      </c>
      <c r="O371" s="2631"/>
      <c r="P371" s="2631"/>
      <c r="Q371" s="2631"/>
      <c r="R371" s="2631"/>
      <c r="S371" s="2631"/>
      <c r="T371" s="2631"/>
      <c r="U371" s="2660">
        <f>U372</f>
        <v>1000</v>
      </c>
    </row>
    <row r="372" spans="1:26" ht="30.75" customHeight="1" x14ac:dyDescent="0.35">
      <c r="A372" s="732"/>
      <c r="B372" s="1182" t="s">
        <v>1137</v>
      </c>
      <c r="C372" s="409"/>
      <c r="D372" s="2757" t="s">
        <v>463</v>
      </c>
      <c r="E372" s="2757" t="s">
        <v>495</v>
      </c>
      <c r="F372" s="2750" t="s">
        <v>1127</v>
      </c>
      <c r="G372" s="2751" t="s">
        <v>1</v>
      </c>
      <c r="H372" s="2660">
        <v>0</v>
      </c>
      <c r="I372" s="2661"/>
      <c r="J372" s="2662"/>
      <c r="K372" s="2631"/>
      <c r="L372" s="2631"/>
      <c r="M372" s="2631"/>
      <c r="N372" s="2680">
        <v>0</v>
      </c>
      <c r="O372" s="2631"/>
      <c r="P372" s="2631"/>
      <c r="Q372" s="2631"/>
      <c r="R372" s="2631"/>
      <c r="S372" s="2631"/>
      <c r="T372" s="2631"/>
      <c r="U372" s="2660">
        <v>1000</v>
      </c>
    </row>
    <row r="373" spans="1:26" ht="30.75" customHeight="1" x14ac:dyDescent="0.35">
      <c r="A373" s="732"/>
      <c r="B373" s="1872" t="s">
        <v>1019</v>
      </c>
      <c r="C373" s="409"/>
      <c r="D373" s="2757" t="s">
        <v>463</v>
      </c>
      <c r="E373" s="2757" t="s">
        <v>495</v>
      </c>
      <c r="F373" s="2750" t="s">
        <v>1020</v>
      </c>
      <c r="G373" s="2767"/>
      <c r="H373" s="2660">
        <f>H374</f>
        <v>1074.8839</v>
      </c>
      <c r="I373" s="2661"/>
      <c r="J373" s="2662"/>
      <c r="K373" s="2631"/>
      <c r="L373" s="2631"/>
      <c r="M373" s="2631"/>
      <c r="N373" s="2680">
        <f>N374</f>
        <v>901</v>
      </c>
      <c r="O373" s="2631"/>
      <c r="P373" s="2631"/>
      <c r="Q373" s="2631"/>
      <c r="R373" s="2631"/>
      <c r="S373" s="2631"/>
      <c r="T373" s="2631"/>
      <c r="U373" s="2660">
        <f>U374</f>
        <v>1000</v>
      </c>
    </row>
    <row r="374" spans="1:26" ht="30.75" customHeight="1" x14ac:dyDescent="0.35">
      <c r="A374" s="732"/>
      <c r="B374" s="753" t="s">
        <v>1021</v>
      </c>
      <c r="C374" s="409"/>
      <c r="D374" s="2750" t="s">
        <v>463</v>
      </c>
      <c r="E374" s="2750" t="s">
        <v>495</v>
      </c>
      <c r="F374" s="2763" t="s">
        <v>1022</v>
      </c>
      <c r="G374" s="2768"/>
      <c r="H374" s="2660">
        <f>H376</f>
        <v>1074.8839</v>
      </c>
      <c r="I374" s="2661"/>
      <c r="J374" s="2662"/>
      <c r="K374" s="2631"/>
      <c r="L374" s="2631"/>
      <c r="M374" s="2631"/>
      <c r="N374" s="2680">
        <f>N376</f>
        <v>901</v>
      </c>
      <c r="O374" s="2631"/>
      <c r="P374" s="2631"/>
      <c r="Q374" s="2631"/>
      <c r="R374" s="2631"/>
      <c r="S374" s="2631"/>
      <c r="T374" s="2631"/>
      <c r="U374" s="2660">
        <f>U376</f>
        <v>1000</v>
      </c>
    </row>
    <row r="375" spans="1:26" ht="23.5" customHeight="1" x14ac:dyDescent="0.35">
      <c r="A375" s="732"/>
      <c r="B375" s="753" t="s">
        <v>948</v>
      </c>
      <c r="C375" s="409"/>
      <c r="D375" s="2757" t="s">
        <v>463</v>
      </c>
      <c r="E375" s="2757" t="s">
        <v>495</v>
      </c>
      <c r="F375" s="2763" t="s">
        <v>1022</v>
      </c>
      <c r="G375" s="2769" t="s">
        <v>955</v>
      </c>
      <c r="H375" s="2660">
        <f>H376</f>
        <v>1074.8839</v>
      </c>
      <c r="I375" s="2661"/>
      <c r="J375" s="2662"/>
      <c r="K375" s="2631"/>
      <c r="L375" s="2631"/>
      <c r="M375" s="2631"/>
      <c r="N375" s="2680">
        <f>N376</f>
        <v>901</v>
      </c>
      <c r="O375" s="2631"/>
      <c r="P375" s="2631"/>
      <c r="Q375" s="2631"/>
      <c r="R375" s="2631"/>
      <c r="S375" s="2631"/>
      <c r="T375" s="2631"/>
      <c r="U375" s="2660">
        <f>U376</f>
        <v>1000</v>
      </c>
    </row>
    <row r="376" spans="1:26" ht="30.75" customHeight="1" x14ac:dyDescent="0.35">
      <c r="A376" s="732"/>
      <c r="B376" s="1182" t="s">
        <v>454</v>
      </c>
      <c r="C376" s="409"/>
      <c r="D376" s="2750" t="s">
        <v>463</v>
      </c>
      <c r="E376" s="2750" t="s">
        <v>495</v>
      </c>
      <c r="F376" s="2763" t="s">
        <v>1022</v>
      </c>
      <c r="G376" s="2751" t="s">
        <v>1</v>
      </c>
      <c r="H376" s="2660">
        <f>974.8839+100</f>
        <v>1074.8839</v>
      </c>
      <c r="I376" s="2661"/>
      <c r="J376" s="2662"/>
      <c r="K376" s="2631"/>
      <c r="L376" s="2631"/>
      <c r="M376" s="2631"/>
      <c r="N376" s="2680">
        <v>901</v>
      </c>
      <c r="O376" s="2631"/>
      <c r="P376" s="2631"/>
      <c r="Q376" s="2631"/>
      <c r="R376" s="2631"/>
      <c r="S376" s="2631"/>
      <c r="T376" s="2631"/>
      <c r="U376" s="2660">
        <f>1000</f>
        <v>1000</v>
      </c>
    </row>
    <row r="377" spans="1:26" ht="30.75" customHeight="1" x14ac:dyDescent="0.35">
      <c r="A377" s="732"/>
      <c r="B377" s="1872" t="s">
        <v>1067</v>
      </c>
      <c r="C377" s="1193"/>
      <c r="D377" s="2764" t="s">
        <v>463</v>
      </c>
      <c r="E377" s="2764" t="s">
        <v>495</v>
      </c>
      <c r="F377" s="2750" t="s">
        <v>1014</v>
      </c>
      <c r="G377" s="2753"/>
      <c r="H377" s="2660">
        <f>H378</f>
        <v>478.44499999999999</v>
      </c>
      <c r="I377" s="2661"/>
      <c r="J377" s="2662"/>
      <c r="K377" s="2631"/>
      <c r="L377" s="2631"/>
      <c r="M377" s="2631"/>
      <c r="N377" s="2680">
        <f>N378</f>
        <v>190</v>
      </c>
      <c r="O377" s="2631"/>
      <c r="P377" s="2631"/>
      <c r="Q377" s="2631"/>
      <c r="R377" s="2631"/>
      <c r="S377" s="2631"/>
      <c r="T377" s="2631"/>
      <c r="U377" s="2660">
        <f>U378</f>
        <v>150</v>
      </c>
    </row>
    <row r="378" spans="1:26" ht="30.75" customHeight="1" x14ac:dyDescent="0.35">
      <c r="A378" s="732"/>
      <c r="B378" s="1870" t="s">
        <v>1023</v>
      </c>
      <c r="C378" s="1193"/>
      <c r="D378" s="2764" t="s">
        <v>463</v>
      </c>
      <c r="E378" s="2764" t="s">
        <v>495</v>
      </c>
      <c r="F378" s="2750" t="s">
        <v>1016</v>
      </c>
      <c r="G378" s="2753"/>
      <c r="H378" s="2660">
        <f>H379</f>
        <v>478.44499999999999</v>
      </c>
      <c r="I378" s="2661"/>
      <c r="J378" s="2662"/>
      <c r="K378" s="2631"/>
      <c r="L378" s="2631"/>
      <c r="M378" s="2631"/>
      <c r="N378" s="2680">
        <f>N379</f>
        <v>190</v>
      </c>
      <c r="O378" s="2631"/>
      <c r="P378" s="2631"/>
      <c r="Q378" s="2631"/>
      <c r="R378" s="2631"/>
      <c r="S378" s="2631"/>
      <c r="T378" s="2631"/>
      <c r="U378" s="2660">
        <f>U379</f>
        <v>150</v>
      </c>
    </row>
    <row r="379" spans="1:26" ht="30.75" customHeight="1" x14ac:dyDescent="0.35">
      <c r="A379" s="732"/>
      <c r="B379" s="1871" t="s">
        <v>1024</v>
      </c>
      <c r="C379" s="1193"/>
      <c r="D379" s="2764" t="s">
        <v>463</v>
      </c>
      <c r="E379" s="2764" t="s">
        <v>495</v>
      </c>
      <c r="F379" s="2750" t="s">
        <v>1018</v>
      </c>
      <c r="G379" s="2753"/>
      <c r="H379" s="2660">
        <f>H381</f>
        <v>478.44499999999999</v>
      </c>
      <c r="I379" s="2661"/>
      <c r="J379" s="2662"/>
      <c r="K379" s="2631"/>
      <c r="L379" s="2631"/>
      <c r="M379" s="2631"/>
      <c r="N379" s="2680">
        <f>N381</f>
        <v>190</v>
      </c>
      <c r="O379" s="2631"/>
      <c r="P379" s="2631"/>
      <c r="Q379" s="2631"/>
      <c r="R379" s="2631"/>
      <c r="S379" s="2631"/>
      <c r="T379" s="2631"/>
      <c r="U379" s="2660">
        <f>U381</f>
        <v>150</v>
      </c>
    </row>
    <row r="380" spans="1:26" ht="22" customHeight="1" x14ac:dyDescent="0.35">
      <c r="A380" s="732"/>
      <c r="B380" s="753" t="s">
        <v>948</v>
      </c>
      <c r="C380" s="1193"/>
      <c r="D380" s="2764" t="s">
        <v>463</v>
      </c>
      <c r="E380" s="2764" t="s">
        <v>495</v>
      </c>
      <c r="F380" s="2750" t="s">
        <v>1018</v>
      </c>
      <c r="G380" s="2753" t="s">
        <v>955</v>
      </c>
      <c r="H380" s="2660">
        <f t="shared" ref="H380:U380" si="76">H381</f>
        <v>478.44499999999999</v>
      </c>
      <c r="I380" s="2661">
        <f t="shared" si="76"/>
        <v>0</v>
      </c>
      <c r="J380" s="2662">
        <f t="shared" si="76"/>
        <v>0</v>
      </c>
      <c r="K380" s="2631">
        <f t="shared" si="76"/>
        <v>0</v>
      </c>
      <c r="L380" s="2631">
        <f t="shared" si="76"/>
        <v>0</v>
      </c>
      <c r="M380" s="2631">
        <f t="shared" si="76"/>
        <v>0</v>
      </c>
      <c r="N380" s="2680">
        <f t="shared" si="76"/>
        <v>190</v>
      </c>
      <c r="O380" s="2631">
        <f t="shared" si="76"/>
        <v>0</v>
      </c>
      <c r="P380" s="2631">
        <f t="shared" si="76"/>
        <v>0</v>
      </c>
      <c r="Q380" s="2631">
        <f t="shared" si="76"/>
        <v>0</v>
      </c>
      <c r="R380" s="2631">
        <f t="shared" si="76"/>
        <v>0</v>
      </c>
      <c r="S380" s="2631">
        <f t="shared" si="76"/>
        <v>0</v>
      </c>
      <c r="T380" s="2631">
        <f t="shared" si="76"/>
        <v>0</v>
      </c>
      <c r="U380" s="2660">
        <f t="shared" si="76"/>
        <v>150</v>
      </c>
    </row>
    <row r="381" spans="1:26" ht="30.75" customHeight="1" x14ac:dyDescent="0.35">
      <c r="A381" s="732"/>
      <c r="B381" s="1182" t="s">
        <v>454</v>
      </c>
      <c r="C381" s="1193"/>
      <c r="D381" s="2764" t="s">
        <v>463</v>
      </c>
      <c r="E381" s="2764" t="s">
        <v>495</v>
      </c>
      <c r="F381" s="2750" t="s">
        <v>1018</v>
      </c>
      <c r="G381" s="2753" t="s">
        <v>1</v>
      </c>
      <c r="H381" s="2660">
        <v>478.44499999999999</v>
      </c>
      <c r="I381" s="2661"/>
      <c r="J381" s="2662"/>
      <c r="K381" s="2631"/>
      <c r="L381" s="2631"/>
      <c r="M381" s="2631"/>
      <c r="N381" s="2680">
        <v>190</v>
      </c>
      <c r="O381" s="2631"/>
      <c r="P381" s="2631"/>
      <c r="Q381" s="2631"/>
      <c r="R381" s="2631"/>
      <c r="S381" s="2631"/>
      <c r="T381" s="2631"/>
      <c r="U381" s="2660">
        <v>150</v>
      </c>
      <c r="Z381" s="1">
        <v>405.4</v>
      </c>
    </row>
    <row r="382" spans="1:26" ht="30.75" customHeight="1" x14ac:dyDescent="0.35">
      <c r="A382" s="732"/>
      <c r="B382" s="1205" t="s">
        <v>1222</v>
      </c>
      <c r="C382" s="409"/>
      <c r="D382" s="2757" t="s">
        <v>463</v>
      </c>
      <c r="E382" s="2757" t="s">
        <v>495</v>
      </c>
      <c r="F382" s="2750" t="s">
        <v>1165</v>
      </c>
      <c r="G382" s="2751"/>
      <c r="H382" s="2660">
        <f>H384</f>
        <v>0</v>
      </c>
      <c r="I382" s="2661"/>
      <c r="J382" s="2662"/>
      <c r="K382" s="2631"/>
      <c r="L382" s="2631"/>
      <c r="M382" s="2631"/>
      <c r="N382" s="2680">
        <f>N384</f>
        <v>2331.0073000000002</v>
      </c>
      <c r="O382" s="2631"/>
      <c r="P382" s="2631"/>
      <c r="Q382" s="2631"/>
      <c r="R382" s="2631"/>
      <c r="S382" s="2631"/>
      <c r="T382" s="2631"/>
      <c r="U382" s="2660">
        <f>U384</f>
        <v>0</v>
      </c>
    </row>
    <row r="383" spans="1:26" ht="27" customHeight="1" x14ac:dyDescent="0.35">
      <c r="A383" s="732"/>
      <c r="B383" s="1247" t="s">
        <v>1188</v>
      </c>
      <c r="C383" s="409"/>
      <c r="D383" s="2757" t="s">
        <v>463</v>
      </c>
      <c r="E383" s="2757" t="s">
        <v>495</v>
      </c>
      <c r="F383" s="2750" t="s">
        <v>1173</v>
      </c>
      <c r="G383" s="2751"/>
      <c r="H383" s="2660">
        <f>H384</f>
        <v>0</v>
      </c>
      <c r="I383" s="2661"/>
      <c r="J383" s="2662"/>
      <c r="K383" s="2631"/>
      <c r="L383" s="2631"/>
      <c r="M383" s="2631"/>
      <c r="N383" s="2680">
        <f>N384</f>
        <v>2331.0073000000002</v>
      </c>
      <c r="O383" s="2631"/>
      <c r="P383" s="2631"/>
      <c r="Q383" s="2631"/>
      <c r="R383" s="2631"/>
      <c r="S383" s="2631"/>
      <c r="T383" s="2631"/>
      <c r="U383" s="2660">
        <f>U384</f>
        <v>0</v>
      </c>
    </row>
    <row r="384" spans="1:26" ht="30.75" customHeight="1" x14ac:dyDescent="0.35">
      <c r="A384" s="732"/>
      <c r="B384" s="1247" t="s">
        <v>1189</v>
      </c>
      <c r="C384" s="409"/>
      <c r="D384" s="2757" t="s">
        <v>463</v>
      </c>
      <c r="E384" s="2757" t="s">
        <v>495</v>
      </c>
      <c r="F384" s="2750" t="s">
        <v>1174</v>
      </c>
      <c r="G384" s="2751"/>
      <c r="H384" s="2660">
        <f>H385</f>
        <v>0</v>
      </c>
      <c r="I384" s="2661"/>
      <c r="J384" s="2662"/>
      <c r="K384" s="2631"/>
      <c r="L384" s="2631"/>
      <c r="M384" s="2631"/>
      <c r="N384" s="2680">
        <f>N385</f>
        <v>2331.0073000000002</v>
      </c>
      <c r="O384" s="2631"/>
      <c r="P384" s="2631"/>
      <c r="Q384" s="2631"/>
      <c r="R384" s="2631"/>
      <c r="S384" s="2631"/>
      <c r="T384" s="2631"/>
      <c r="U384" s="2680">
        <f>U385</f>
        <v>0</v>
      </c>
    </row>
    <row r="385" spans="1:21" ht="23.5" customHeight="1" x14ac:dyDescent="0.35">
      <c r="A385" s="732"/>
      <c r="B385" s="2421" t="s">
        <v>1176</v>
      </c>
      <c r="C385" s="409"/>
      <c r="D385" s="2757" t="s">
        <v>463</v>
      </c>
      <c r="E385" s="2757" t="s">
        <v>495</v>
      </c>
      <c r="F385" s="2750" t="s">
        <v>1223</v>
      </c>
      <c r="G385" s="2751"/>
      <c r="H385" s="2660">
        <f>H387</f>
        <v>0</v>
      </c>
      <c r="I385" s="2661"/>
      <c r="J385" s="2662"/>
      <c r="K385" s="2631"/>
      <c r="L385" s="2631"/>
      <c r="M385" s="2631"/>
      <c r="N385" s="2680">
        <f>N387</f>
        <v>2331.0073000000002</v>
      </c>
      <c r="O385" s="2631"/>
      <c r="P385" s="2631"/>
      <c r="Q385" s="2631"/>
      <c r="R385" s="2631"/>
      <c r="S385" s="2631"/>
      <c r="T385" s="2631"/>
      <c r="U385" s="2660">
        <f>U387</f>
        <v>0</v>
      </c>
    </row>
    <row r="386" spans="1:21" ht="20.149999999999999" customHeight="1" x14ac:dyDescent="0.35">
      <c r="A386" s="732"/>
      <c r="B386" s="753" t="s">
        <v>1061</v>
      </c>
      <c r="C386" s="409"/>
      <c r="D386" s="2757" t="s">
        <v>463</v>
      </c>
      <c r="E386" s="2757" t="s">
        <v>495</v>
      </c>
      <c r="F386" s="2750" t="s">
        <v>1223</v>
      </c>
      <c r="G386" s="2751" t="s">
        <v>1060</v>
      </c>
      <c r="H386" s="2660">
        <f t="shared" ref="H386:U386" si="77">H387</f>
        <v>0</v>
      </c>
      <c r="I386" s="2661">
        <f t="shared" si="77"/>
        <v>0</v>
      </c>
      <c r="J386" s="2662">
        <f t="shared" si="77"/>
        <v>0</v>
      </c>
      <c r="K386" s="2631">
        <f t="shared" si="77"/>
        <v>0</v>
      </c>
      <c r="L386" s="2631">
        <f t="shared" si="77"/>
        <v>0</v>
      </c>
      <c r="M386" s="2631">
        <f t="shared" si="77"/>
        <v>0</v>
      </c>
      <c r="N386" s="2680">
        <f t="shared" si="77"/>
        <v>2331.0073000000002</v>
      </c>
      <c r="O386" s="2631">
        <f t="shared" si="77"/>
        <v>0</v>
      </c>
      <c r="P386" s="2631">
        <f t="shared" si="77"/>
        <v>0</v>
      </c>
      <c r="Q386" s="2631">
        <f t="shared" si="77"/>
        <v>0</v>
      </c>
      <c r="R386" s="2631">
        <f t="shared" si="77"/>
        <v>0</v>
      </c>
      <c r="S386" s="2631">
        <f t="shared" si="77"/>
        <v>0</v>
      </c>
      <c r="T386" s="2631">
        <f t="shared" si="77"/>
        <v>0</v>
      </c>
      <c r="U386" s="2660">
        <f t="shared" si="77"/>
        <v>0</v>
      </c>
    </row>
    <row r="387" spans="1:21" ht="30.75" customHeight="1" x14ac:dyDescent="0.35">
      <c r="A387" s="732"/>
      <c r="B387" s="1182" t="s">
        <v>481</v>
      </c>
      <c r="C387" s="409"/>
      <c r="D387" s="2757" t="s">
        <v>463</v>
      </c>
      <c r="E387" s="2757" t="s">
        <v>495</v>
      </c>
      <c r="F387" s="2750" t="s">
        <v>1223</v>
      </c>
      <c r="G387" s="2751" t="s">
        <v>26</v>
      </c>
      <c r="H387" s="2660">
        <v>0</v>
      </c>
      <c r="I387" s="2661"/>
      <c r="J387" s="2662"/>
      <c r="K387" s="2631"/>
      <c r="L387" s="2631"/>
      <c r="M387" s="2631"/>
      <c r="N387" s="2680">
        <f>752.9217+1578.0856</f>
        <v>2331.0073000000002</v>
      </c>
      <c r="O387" s="2631"/>
      <c r="P387" s="2631"/>
      <c r="Q387" s="2631"/>
      <c r="R387" s="2631"/>
      <c r="S387" s="2631"/>
      <c r="T387" s="2631"/>
      <c r="U387" s="2660">
        <v>0</v>
      </c>
    </row>
    <row r="388" spans="1:21" ht="30.75" customHeight="1" x14ac:dyDescent="0.35">
      <c r="A388" s="732"/>
      <c r="B388" s="1182" t="s">
        <v>499</v>
      </c>
      <c r="C388" s="1880"/>
      <c r="D388" s="2757" t="s">
        <v>463</v>
      </c>
      <c r="E388" s="2757" t="s">
        <v>495</v>
      </c>
      <c r="F388" s="2751" t="s">
        <v>89</v>
      </c>
      <c r="G388" s="2751"/>
      <c r="H388" s="2660">
        <f>H389</f>
        <v>5655</v>
      </c>
      <c r="I388" s="2661"/>
      <c r="J388" s="2662"/>
      <c r="K388" s="2631"/>
      <c r="L388" s="2631"/>
      <c r="M388" s="2631"/>
      <c r="N388" s="2663">
        <f>N389</f>
        <v>5994.3</v>
      </c>
      <c r="O388" s="2631"/>
      <c r="P388" s="2631"/>
      <c r="Q388" s="2631"/>
      <c r="R388" s="2631"/>
      <c r="S388" s="2631"/>
      <c r="T388" s="2631"/>
      <c r="U388" s="2660">
        <f>U389</f>
        <v>6353.9579999999996</v>
      </c>
    </row>
    <row r="389" spans="1:21" ht="30.75" customHeight="1" x14ac:dyDescent="0.35">
      <c r="A389" s="1179"/>
      <c r="B389" s="1882" t="s">
        <v>109</v>
      </c>
      <c r="C389" s="409"/>
      <c r="D389" s="2757" t="s">
        <v>463</v>
      </c>
      <c r="E389" s="2757" t="s">
        <v>495</v>
      </c>
      <c r="F389" s="2750" t="s">
        <v>84</v>
      </c>
      <c r="G389" s="2770"/>
      <c r="H389" s="2660">
        <f>H390</f>
        <v>5655</v>
      </c>
      <c r="I389" s="2661"/>
      <c r="J389" s="2662"/>
      <c r="K389" s="2631"/>
      <c r="L389" s="2631"/>
      <c r="M389" s="2631"/>
      <c r="N389" s="2663">
        <f>N390</f>
        <v>5994.3</v>
      </c>
      <c r="O389" s="2631"/>
      <c r="P389" s="2631"/>
      <c r="Q389" s="2631"/>
      <c r="R389" s="2631"/>
      <c r="S389" s="2631"/>
      <c r="T389" s="2631"/>
      <c r="U389" s="2660">
        <f>U390</f>
        <v>6353.9579999999996</v>
      </c>
    </row>
    <row r="390" spans="1:21" ht="30.75" customHeight="1" x14ac:dyDescent="0.35">
      <c r="A390" s="1179"/>
      <c r="B390" s="1884" t="s">
        <v>109</v>
      </c>
      <c r="C390" s="409"/>
      <c r="D390" s="2757" t="s">
        <v>463</v>
      </c>
      <c r="E390" s="2757" t="s">
        <v>495</v>
      </c>
      <c r="F390" s="2750" t="s">
        <v>82</v>
      </c>
      <c r="G390" s="2771"/>
      <c r="H390" s="2660">
        <f>H402+H401+H393+H396+H399</f>
        <v>5655</v>
      </c>
      <c r="I390" s="2661"/>
      <c r="J390" s="2662"/>
      <c r="K390" s="2631"/>
      <c r="L390" s="2631"/>
      <c r="M390" s="2631"/>
      <c r="N390" s="2663">
        <f>N397</f>
        <v>5994.3</v>
      </c>
      <c r="O390" s="2631"/>
      <c r="P390" s="2631"/>
      <c r="Q390" s="2631"/>
      <c r="R390" s="2631"/>
      <c r="S390" s="2631"/>
      <c r="T390" s="2631"/>
      <c r="U390" s="2660">
        <f>U397</f>
        <v>6353.9579999999996</v>
      </c>
    </row>
    <row r="391" spans="1:21" ht="30.75" hidden="1" customHeight="1" x14ac:dyDescent="0.35">
      <c r="A391" s="1179"/>
      <c r="B391" s="1884" t="s">
        <v>1178</v>
      </c>
      <c r="C391" s="409"/>
      <c r="D391" s="2757" t="s">
        <v>463</v>
      </c>
      <c r="E391" s="2757" t="s">
        <v>495</v>
      </c>
      <c r="F391" s="2750" t="s">
        <v>1177</v>
      </c>
      <c r="G391" s="2771"/>
      <c r="H391" s="2660">
        <f>H392</f>
        <v>0</v>
      </c>
      <c r="I391" s="2661"/>
      <c r="J391" s="2662"/>
      <c r="K391" s="2631"/>
      <c r="L391" s="2631"/>
      <c r="M391" s="2631"/>
      <c r="N391" s="2663">
        <f t="shared" ref="N391:U391" si="78">N392</f>
        <v>0</v>
      </c>
      <c r="O391" s="2631">
        <f t="shared" si="78"/>
        <v>0</v>
      </c>
      <c r="P391" s="2631">
        <f t="shared" si="78"/>
        <v>0</v>
      </c>
      <c r="Q391" s="2631">
        <f t="shared" si="78"/>
        <v>0</v>
      </c>
      <c r="R391" s="2631">
        <f t="shared" si="78"/>
        <v>0</v>
      </c>
      <c r="S391" s="2631">
        <f t="shared" si="78"/>
        <v>0</v>
      </c>
      <c r="T391" s="2631">
        <f t="shared" si="78"/>
        <v>0</v>
      </c>
      <c r="U391" s="2660">
        <f t="shared" si="78"/>
        <v>0</v>
      </c>
    </row>
    <row r="392" spans="1:21" ht="30.75" hidden="1" customHeight="1" x14ac:dyDescent="0.35">
      <c r="A392" s="1179"/>
      <c r="B392" s="1884" t="s">
        <v>948</v>
      </c>
      <c r="C392" s="409"/>
      <c r="D392" s="2757" t="s">
        <v>463</v>
      </c>
      <c r="E392" s="2757" t="s">
        <v>495</v>
      </c>
      <c r="F392" s="2750" t="s">
        <v>1177</v>
      </c>
      <c r="G392" s="2771" t="s">
        <v>955</v>
      </c>
      <c r="H392" s="2660">
        <f>H393</f>
        <v>0</v>
      </c>
      <c r="I392" s="2661"/>
      <c r="J392" s="2662"/>
      <c r="K392" s="2631"/>
      <c r="L392" s="2631"/>
      <c r="M392" s="2631"/>
      <c r="N392" s="2663">
        <v>0</v>
      </c>
      <c r="O392" s="2631"/>
      <c r="P392" s="2631"/>
      <c r="Q392" s="2631"/>
      <c r="R392" s="2631"/>
      <c r="S392" s="2631"/>
      <c r="T392" s="2631"/>
      <c r="U392" s="2660">
        <v>0</v>
      </c>
    </row>
    <row r="393" spans="1:21" ht="30.75" hidden="1" customHeight="1" x14ac:dyDescent="0.35">
      <c r="A393" s="1179"/>
      <c r="B393" s="1884" t="s">
        <v>454</v>
      </c>
      <c r="C393" s="409"/>
      <c r="D393" s="2757" t="s">
        <v>463</v>
      </c>
      <c r="E393" s="2757" t="s">
        <v>495</v>
      </c>
      <c r="F393" s="2750" t="s">
        <v>1177</v>
      </c>
      <c r="G393" s="2771" t="s">
        <v>1</v>
      </c>
      <c r="H393" s="2660">
        <v>0</v>
      </c>
      <c r="I393" s="2661"/>
      <c r="J393" s="2662"/>
      <c r="K393" s="2631"/>
      <c r="L393" s="2631"/>
      <c r="M393" s="2631"/>
      <c r="N393" s="2663">
        <v>0</v>
      </c>
      <c r="O393" s="2631"/>
      <c r="P393" s="2631"/>
      <c r="Q393" s="2631"/>
      <c r="R393" s="2631"/>
      <c r="S393" s="2631"/>
      <c r="T393" s="2631"/>
      <c r="U393" s="2660">
        <v>0</v>
      </c>
    </row>
    <row r="394" spans="1:21" ht="30.75" hidden="1" customHeight="1" x14ac:dyDescent="0.35">
      <c r="A394" s="1179"/>
      <c r="B394" s="1884" t="s">
        <v>186</v>
      </c>
      <c r="C394" s="409"/>
      <c r="D394" s="2757" t="s">
        <v>463</v>
      </c>
      <c r="E394" s="2757" t="s">
        <v>495</v>
      </c>
      <c r="F394" s="2750" t="s">
        <v>36</v>
      </c>
      <c r="G394" s="2771"/>
      <c r="H394" s="2660">
        <f>H395</f>
        <v>0</v>
      </c>
      <c r="I394" s="2661"/>
      <c r="J394" s="2662"/>
      <c r="K394" s="2631"/>
      <c r="L394" s="2631"/>
      <c r="M394" s="2631"/>
      <c r="N394" s="2663">
        <f>N395</f>
        <v>0</v>
      </c>
      <c r="O394" s="2631"/>
      <c r="P394" s="2631"/>
      <c r="Q394" s="2631"/>
      <c r="R394" s="2631"/>
      <c r="S394" s="2631"/>
      <c r="T394" s="2631"/>
      <c r="U394" s="2663">
        <f>U395</f>
        <v>0</v>
      </c>
    </row>
    <row r="395" spans="1:21" ht="30.75" hidden="1" customHeight="1" x14ac:dyDescent="0.35">
      <c r="A395" s="1179"/>
      <c r="B395" s="2263" t="s">
        <v>948</v>
      </c>
      <c r="C395" s="409"/>
      <c r="D395" s="2757" t="s">
        <v>463</v>
      </c>
      <c r="E395" s="2757" t="s">
        <v>495</v>
      </c>
      <c r="F395" s="2750" t="s">
        <v>36</v>
      </c>
      <c r="G395" s="2771" t="s">
        <v>955</v>
      </c>
      <c r="H395" s="2660">
        <f>H396</f>
        <v>0</v>
      </c>
      <c r="I395" s="2661"/>
      <c r="J395" s="2662"/>
      <c r="K395" s="2631"/>
      <c r="L395" s="2631"/>
      <c r="M395" s="2631"/>
      <c r="N395" s="2663">
        <f>N396</f>
        <v>0</v>
      </c>
      <c r="O395" s="2631"/>
      <c r="P395" s="2631"/>
      <c r="Q395" s="2631"/>
      <c r="R395" s="2631"/>
      <c r="S395" s="2631"/>
      <c r="T395" s="2631"/>
      <c r="U395" s="2663">
        <f>U396</f>
        <v>0</v>
      </c>
    </row>
    <row r="396" spans="1:21" ht="30.75" hidden="1" customHeight="1" x14ac:dyDescent="0.35">
      <c r="A396" s="1179"/>
      <c r="B396" s="2263" t="s">
        <v>454</v>
      </c>
      <c r="C396" s="409"/>
      <c r="D396" s="2757" t="s">
        <v>463</v>
      </c>
      <c r="E396" s="2757" t="s">
        <v>495</v>
      </c>
      <c r="F396" s="2750" t="s">
        <v>36</v>
      </c>
      <c r="G396" s="2771" t="s">
        <v>1</v>
      </c>
      <c r="H396" s="2660">
        <v>0</v>
      </c>
      <c r="I396" s="2661"/>
      <c r="J396" s="2662"/>
      <c r="K396" s="2631"/>
      <c r="L396" s="2631"/>
      <c r="M396" s="2631"/>
      <c r="N396" s="2663">
        <v>0</v>
      </c>
      <c r="O396" s="2631"/>
      <c r="P396" s="2631"/>
      <c r="Q396" s="2631"/>
      <c r="R396" s="2631"/>
      <c r="S396" s="2631"/>
      <c r="T396" s="2631"/>
      <c r="U396" s="2660">
        <v>0</v>
      </c>
    </row>
    <row r="397" spans="1:21" ht="30.75" customHeight="1" x14ac:dyDescent="0.35">
      <c r="A397" s="1179"/>
      <c r="B397" s="1205" t="s">
        <v>184</v>
      </c>
      <c r="C397" s="409"/>
      <c r="D397" s="2757" t="s">
        <v>463</v>
      </c>
      <c r="E397" s="2757" t="s">
        <v>495</v>
      </c>
      <c r="F397" s="2750" t="s">
        <v>33</v>
      </c>
      <c r="G397" s="2771"/>
      <c r="H397" s="2660">
        <f>H401+H399</f>
        <v>5655</v>
      </c>
      <c r="I397" s="2661"/>
      <c r="J397" s="2662"/>
      <c r="K397" s="2631"/>
      <c r="L397" s="2631"/>
      <c r="M397" s="2631"/>
      <c r="N397" s="2663">
        <f t="shared" ref="N397:U397" si="79">N401+N399</f>
        <v>5994.3</v>
      </c>
      <c r="O397" s="2631">
        <f t="shared" si="79"/>
        <v>0</v>
      </c>
      <c r="P397" s="2631">
        <f t="shared" si="79"/>
        <v>0</v>
      </c>
      <c r="Q397" s="2631">
        <f t="shared" si="79"/>
        <v>0</v>
      </c>
      <c r="R397" s="2631">
        <f t="shared" si="79"/>
        <v>0</v>
      </c>
      <c r="S397" s="2631">
        <f t="shared" si="79"/>
        <v>0</v>
      </c>
      <c r="T397" s="2631">
        <f t="shared" si="79"/>
        <v>0</v>
      </c>
      <c r="U397" s="2660">
        <f t="shared" si="79"/>
        <v>6353.9579999999996</v>
      </c>
    </row>
    <row r="398" spans="1:21" ht="30.75" hidden="1" customHeight="1" x14ac:dyDescent="0.35">
      <c r="A398" s="1179"/>
      <c r="B398" s="2263" t="s">
        <v>948</v>
      </c>
      <c r="C398" s="409"/>
      <c r="D398" s="2757" t="s">
        <v>463</v>
      </c>
      <c r="E398" s="2757" t="s">
        <v>495</v>
      </c>
      <c r="F398" s="2750" t="s">
        <v>33</v>
      </c>
      <c r="G398" s="2771" t="s">
        <v>955</v>
      </c>
      <c r="H398" s="2660">
        <f>H399</f>
        <v>0</v>
      </c>
      <c r="I398" s="2661"/>
      <c r="J398" s="2662"/>
      <c r="K398" s="2631"/>
      <c r="L398" s="2631"/>
      <c r="M398" s="2631"/>
      <c r="N398" s="2663">
        <f t="shared" ref="N398:U398" si="80">N399</f>
        <v>0</v>
      </c>
      <c r="O398" s="2631">
        <f t="shared" si="80"/>
        <v>0</v>
      </c>
      <c r="P398" s="2631">
        <f t="shared" si="80"/>
        <v>0</v>
      </c>
      <c r="Q398" s="2631">
        <f t="shared" si="80"/>
        <v>0</v>
      </c>
      <c r="R398" s="2631">
        <f t="shared" si="80"/>
        <v>0</v>
      </c>
      <c r="S398" s="2631">
        <f t="shared" si="80"/>
        <v>0</v>
      </c>
      <c r="T398" s="2631">
        <f t="shared" si="80"/>
        <v>0</v>
      </c>
      <c r="U398" s="2660">
        <f t="shared" si="80"/>
        <v>0</v>
      </c>
    </row>
    <row r="399" spans="1:21" ht="30.75" hidden="1" customHeight="1" x14ac:dyDescent="0.35">
      <c r="A399" s="1179"/>
      <c r="B399" s="2263" t="s">
        <v>454</v>
      </c>
      <c r="C399" s="409"/>
      <c r="D399" s="2757" t="s">
        <v>463</v>
      </c>
      <c r="E399" s="2757" t="s">
        <v>495</v>
      </c>
      <c r="F399" s="2750" t="s">
        <v>33</v>
      </c>
      <c r="G399" s="2771" t="s">
        <v>1</v>
      </c>
      <c r="H399" s="2660">
        <v>0</v>
      </c>
      <c r="I399" s="2661"/>
      <c r="J399" s="2662"/>
      <c r="K399" s="2631"/>
      <c r="L399" s="2631"/>
      <c r="M399" s="2631"/>
      <c r="N399" s="2663">
        <v>0</v>
      </c>
      <c r="O399" s="2631"/>
      <c r="P399" s="2631"/>
      <c r="Q399" s="2631"/>
      <c r="R399" s="2631"/>
      <c r="S399" s="2631"/>
      <c r="T399" s="2631"/>
      <c r="U399" s="2660">
        <v>0</v>
      </c>
    </row>
    <row r="400" spans="1:21" ht="19.5" customHeight="1" x14ac:dyDescent="0.35">
      <c r="A400" s="1179"/>
      <c r="B400" s="1884" t="s">
        <v>1068</v>
      </c>
      <c r="C400" s="409"/>
      <c r="D400" s="2757" t="s">
        <v>463</v>
      </c>
      <c r="E400" s="2757" t="s">
        <v>495</v>
      </c>
      <c r="F400" s="2750" t="s">
        <v>33</v>
      </c>
      <c r="G400" s="2771" t="s">
        <v>1064</v>
      </c>
      <c r="H400" s="2660">
        <f t="shared" ref="H400:U400" si="81">H401</f>
        <v>5655</v>
      </c>
      <c r="I400" s="2661">
        <f t="shared" si="81"/>
        <v>0</v>
      </c>
      <c r="J400" s="2662">
        <f t="shared" si="81"/>
        <v>0</v>
      </c>
      <c r="K400" s="2631">
        <f t="shared" si="81"/>
        <v>0</v>
      </c>
      <c r="L400" s="2631">
        <f t="shared" si="81"/>
        <v>0</v>
      </c>
      <c r="M400" s="2631">
        <f t="shared" si="81"/>
        <v>0</v>
      </c>
      <c r="N400" s="2663">
        <f t="shared" si="81"/>
        <v>5994.3</v>
      </c>
      <c r="O400" s="2631">
        <f t="shared" si="81"/>
        <v>0</v>
      </c>
      <c r="P400" s="2631">
        <f t="shared" si="81"/>
        <v>0</v>
      </c>
      <c r="Q400" s="2631">
        <f t="shared" si="81"/>
        <v>0</v>
      </c>
      <c r="R400" s="2631">
        <f t="shared" si="81"/>
        <v>0</v>
      </c>
      <c r="S400" s="2631">
        <f t="shared" si="81"/>
        <v>0</v>
      </c>
      <c r="T400" s="2631">
        <f t="shared" si="81"/>
        <v>0</v>
      </c>
      <c r="U400" s="2660">
        <f t="shared" si="81"/>
        <v>6353.9579999999996</v>
      </c>
    </row>
    <row r="401" spans="1:26" ht="30.75" customHeight="1" x14ac:dyDescent="0.35">
      <c r="A401" s="1179"/>
      <c r="B401" s="1182" t="s">
        <v>1034</v>
      </c>
      <c r="C401" s="409"/>
      <c r="D401" s="2757" t="s">
        <v>463</v>
      </c>
      <c r="E401" s="2757" t="s">
        <v>495</v>
      </c>
      <c r="F401" s="2750" t="s">
        <v>33</v>
      </c>
      <c r="G401" s="2771" t="s">
        <v>521</v>
      </c>
      <c r="H401" s="2660">
        <v>5655</v>
      </c>
      <c r="I401" s="2661"/>
      <c r="J401" s="2662"/>
      <c r="K401" s="2631"/>
      <c r="L401" s="2631"/>
      <c r="M401" s="2631"/>
      <c r="N401" s="2663">
        <v>5994.3</v>
      </c>
      <c r="O401" s="2631"/>
      <c r="P401" s="2631"/>
      <c r="Q401" s="2631"/>
      <c r="R401" s="2631"/>
      <c r="S401" s="2631"/>
      <c r="T401" s="2631"/>
      <c r="U401" s="2660">
        <v>6353.9579999999996</v>
      </c>
    </row>
    <row r="402" spans="1:26" ht="30.75" hidden="1" customHeight="1" x14ac:dyDescent="0.35">
      <c r="A402" s="1179"/>
      <c r="B402" s="2248" t="s">
        <v>1107</v>
      </c>
      <c r="C402" s="409"/>
      <c r="D402" s="2757" t="s">
        <v>463</v>
      </c>
      <c r="E402" s="2757" t="s">
        <v>495</v>
      </c>
      <c r="F402" s="2750" t="s">
        <v>1106</v>
      </c>
      <c r="G402" s="2771"/>
      <c r="H402" s="2660">
        <f>H403</f>
        <v>0</v>
      </c>
      <c r="I402" s="2661"/>
      <c r="J402" s="2662"/>
      <c r="K402" s="2631"/>
      <c r="L402" s="2631"/>
      <c r="M402" s="2631"/>
      <c r="N402" s="2663">
        <f>N403</f>
        <v>0</v>
      </c>
      <c r="O402" s="2631"/>
      <c r="P402" s="2631"/>
      <c r="Q402" s="2631"/>
      <c r="R402" s="2631"/>
      <c r="S402" s="2631"/>
      <c r="T402" s="2631"/>
      <c r="U402" s="2660">
        <f>U403</f>
        <v>0</v>
      </c>
    </row>
    <row r="403" spans="1:26" ht="30.75" hidden="1" customHeight="1" x14ac:dyDescent="0.35">
      <c r="A403" s="1179"/>
      <c r="B403" s="1884" t="s">
        <v>454</v>
      </c>
      <c r="C403" s="409"/>
      <c r="D403" s="2757" t="s">
        <v>463</v>
      </c>
      <c r="E403" s="2757" t="s">
        <v>495</v>
      </c>
      <c r="F403" s="2750" t="s">
        <v>1106</v>
      </c>
      <c r="G403" s="2751" t="s">
        <v>1</v>
      </c>
      <c r="H403" s="2660"/>
      <c r="I403" s="2661"/>
      <c r="J403" s="2662"/>
      <c r="K403" s="2631"/>
      <c r="L403" s="2631"/>
      <c r="M403" s="2631"/>
      <c r="N403" s="2663">
        <v>0</v>
      </c>
      <c r="O403" s="2631"/>
      <c r="P403" s="2631"/>
      <c r="Q403" s="2631"/>
      <c r="R403" s="2631"/>
      <c r="S403" s="2631"/>
      <c r="T403" s="2631"/>
      <c r="U403" s="2660">
        <v>0</v>
      </c>
      <c r="Z403" s="1">
        <v>122</v>
      </c>
    </row>
    <row r="404" spans="1:26" x14ac:dyDescent="0.35">
      <c r="A404" s="1179"/>
      <c r="B404" s="1184" t="s">
        <v>348</v>
      </c>
      <c r="C404" s="1177"/>
      <c r="D404" s="2750" t="s">
        <v>506</v>
      </c>
      <c r="E404" s="2750" t="s">
        <v>459</v>
      </c>
      <c r="F404" s="2750"/>
      <c r="G404" s="2751"/>
      <c r="H404" s="2660">
        <f t="shared" ref="H404:J406" si="82">H405</f>
        <v>5886.95</v>
      </c>
      <c r="I404" s="2661">
        <f t="shared" si="82"/>
        <v>0</v>
      </c>
      <c r="J404" s="2662">
        <f t="shared" si="82"/>
        <v>0</v>
      </c>
      <c r="K404" s="2631"/>
      <c r="L404" s="2631"/>
      <c r="M404" s="2631"/>
      <c r="N404" s="2663">
        <f t="shared" ref="N404:N406" si="83">N405</f>
        <v>402</v>
      </c>
      <c r="O404" s="2631"/>
      <c r="P404" s="2631"/>
      <c r="Q404" s="2631"/>
      <c r="R404" s="2631"/>
      <c r="S404" s="2631"/>
      <c r="T404" s="2631"/>
      <c r="U404" s="2660">
        <f t="shared" ref="U404:U406" si="84">U405</f>
        <v>412</v>
      </c>
    </row>
    <row r="405" spans="1:26" x14ac:dyDescent="0.35">
      <c r="A405" s="842"/>
      <c r="B405" s="1184" t="s">
        <v>964</v>
      </c>
      <c r="C405" s="1177"/>
      <c r="D405" s="2750" t="s">
        <v>506</v>
      </c>
      <c r="E405" s="2750" t="s">
        <v>506</v>
      </c>
      <c r="F405" s="2750"/>
      <c r="G405" s="2751"/>
      <c r="H405" s="2660">
        <f t="shared" si="82"/>
        <v>5886.95</v>
      </c>
      <c r="I405" s="2661">
        <f t="shared" si="82"/>
        <v>0</v>
      </c>
      <c r="J405" s="2662">
        <f t="shared" si="82"/>
        <v>0</v>
      </c>
      <c r="K405" s="2631"/>
      <c r="L405" s="2631"/>
      <c r="M405" s="2631"/>
      <c r="N405" s="2663">
        <f t="shared" si="83"/>
        <v>402</v>
      </c>
      <c r="O405" s="2631"/>
      <c r="P405" s="2631"/>
      <c r="Q405" s="2631"/>
      <c r="R405" s="2631"/>
      <c r="S405" s="2631"/>
      <c r="T405" s="2631"/>
      <c r="U405" s="2660">
        <f t="shared" si="84"/>
        <v>412</v>
      </c>
    </row>
    <row r="406" spans="1:26" ht="31.5" x14ac:dyDescent="0.35">
      <c r="A406" s="1179"/>
      <c r="B406" s="1205" t="s">
        <v>932</v>
      </c>
      <c r="C406" s="1180"/>
      <c r="D406" s="2750" t="s">
        <v>506</v>
      </c>
      <c r="E406" s="2750" t="s">
        <v>506</v>
      </c>
      <c r="F406" s="2750" t="s">
        <v>273</v>
      </c>
      <c r="G406" s="2751"/>
      <c r="H406" s="2660">
        <f t="shared" si="82"/>
        <v>5886.95</v>
      </c>
      <c r="I406" s="2661">
        <f t="shared" si="82"/>
        <v>0</v>
      </c>
      <c r="J406" s="2662">
        <f t="shared" si="82"/>
        <v>0</v>
      </c>
      <c r="K406" s="2631"/>
      <c r="L406" s="2631"/>
      <c r="M406" s="2631"/>
      <c r="N406" s="2663">
        <f t="shared" si="83"/>
        <v>402</v>
      </c>
      <c r="O406" s="2631"/>
      <c r="P406" s="2631"/>
      <c r="Q406" s="2631"/>
      <c r="R406" s="2631"/>
      <c r="S406" s="2631"/>
      <c r="T406" s="2631"/>
      <c r="U406" s="2660">
        <f t="shared" si="84"/>
        <v>412</v>
      </c>
    </row>
    <row r="407" spans="1:26" ht="21" x14ac:dyDescent="0.35">
      <c r="A407" s="1179"/>
      <c r="B407" s="1205" t="s">
        <v>909</v>
      </c>
      <c r="C407" s="1180"/>
      <c r="D407" s="2750" t="s">
        <v>506</v>
      </c>
      <c r="E407" s="2750" t="s">
        <v>506</v>
      </c>
      <c r="F407" s="2750" t="s">
        <v>271</v>
      </c>
      <c r="G407" s="2751"/>
      <c r="H407" s="2660">
        <f>H411+H418</f>
        <v>5886.95</v>
      </c>
      <c r="I407" s="2661">
        <f>I408+I411</f>
        <v>0</v>
      </c>
      <c r="J407" s="2662">
        <f>J408+J411</f>
        <v>0</v>
      </c>
      <c r="K407" s="2639">
        <v>348</v>
      </c>
      <c r="L407" s="2631"/>
      <c r="M407" s="2631"/>
      <c r="N407" s="2663">
        <f t="shared" ref="N407:U407" si="85">N411+N418</f>
        <v>402</v>
      </c>
      <c r="O407" s="2631">
        <f t="shared" si="85"/>
        <v>0</v>
      </c>
      <c r="P407" s="2631">
        <f t="shared" si="85"/>
        <v>0</v>
      </c>
      <c r="Q407" s="2631">
        <f t="shared" si="85"/>
        <v>0</v>
      </c>
      <c r="R407" s="2631">
        <f t="shared" si="85"/>
        <v>0</v>
      </c>
      <c r="S407" s="2631">
        <f t="shared" si="85"/>
        <v>0</v>
      </c>
      <c r="T407" s="2631">
        <f t="shared" si="85"/>
        <v>0</v>
      </c>
      <c r="U407" s="2660">
        <f t="shared" si="85"/>
        <v>412</v>
      </c>
    </row>
    <row r="408" spans="1:26" ht="42" hidden="1" x14ac:dyDescent="0.35">
      <c r="A408" s="1179"/>
      <c r="B408" s="1205" t="s">
        <v>270</v>
      </c>
      <c r="C408" s="1180"/>
      <c r="D408" s="2750" t="s">
        <v>506</v>
      </c>
      <c r="E408" s="2750" t="s">
        <v>506</v>
      </c>
      <c r="F408" s="2750" t="s">
        <v>267</v>
      </c>
      <c r="G408" s="2751"/>
      <c r="H408" s="2660">
        <f t="shared" ref="H408:J409" si="86">H409</f>
        <v>0</v>
      </c>
      <c r="I408" s="2661">
        <f t="shared" si="86"/>
        <v>0</v>
      </c>
      <c r="J408" s="2662">
        <f t="shared" si="86"/>
        <v>0</v>
      </c>
      <c r="K408" s="2631"/>
      <c r="L408" s="2631"/>
      <c r="M408" s="2631"/>
      <c r="N408" s="2663">
        <f t="shared" ref="N408:N409" si="87">N409</f>
        <v>0</v>
      </c>
      <c r="O408" s="2631"/>
      <c r="P408" s="2631"/>
      <c r="Q408" s="2631"/>
      <c r="R408" s="2631"/>
      <c r="S408" s="2631"/>
      <c r="T408" s="2631"/>
      <c r="U408" s="2660">
        <f t="shared" ref="U408:U409" si="88">U409</f>
        <v>0</v>
      </c>
    </row>
    <row r="409" spans="1:26" ht="21" hidden="1" x14ac:dyDescent="0.35">
      <c r="A409" s="1233"/>
      <c r="B409" s="1250" t="s">
        <v>4</v>
      </c>
      <c r="C409" s="1180"/>
      <c r="D409" s="2750" t="s">
        <v>506</v>
      </c>
      <c r="E409" s="2750" t="s">
        <v>506</v>
      </c>
      <c r="F409" s="2750" t="s">
        <v>507</v>
      </c>
      <c r="G409" s="2751"/>
      <c r="H409" s="2660">
        <f t="shared" si="86"/>
        <v>0</v>
      </c>
      <c r="I409" s="2661">
        <f t="shared" si="86"/>
        <v>0</v>
      </c>
      <c r="J409" s="2662">
        <f t="shared" si="86"/>
        <v>0</v>
      </c>
      <c r="K409" s="2631"/>
      <c r="L409" s="2631"/>
      <c r="M409" s="2631"/>
      <c r="N409" s="2663">
        <f t="shared" si="87"/>
        <v>0</v>
      </c>
      <c r="O409" s="2631"/>
      <c r="P409" s="2631"/>
      <c r="Q409" s="2631"/>
      <c r="R409" s="2631"/>
      <c r="S409" s="2631"/>
      <c r="T409" s="2631"/>
      <c r="U409" s="2660">
        <f t="shared" si="88"/>
        <v>0</v>
      </c>
    </row>
    <row r="410" spans="1:26" ht="21" hidden="1" x14ac:dyDescent="0.35">
      <c r="A410" s="1233"/>
      <c r="B410" s="1197" t="s">
        <v>268</v>
      </c>
      <c r="C410" s="1183"/>
      <c r="D410" s="2750" t="s">
        <v>506</v>
      </c>
      <c r="E410" s="2750" t="s">
        <v>506</v>
      </c>
      <c r="F410" s="2750" t="s">
        <v>507</v>
      </c>
      <c r="G410" s="2751" t="s">
        <v>1</v>
      </c>
      <c r="H410" s="2660"/>
      <c r="I410" s="2661"/>
      <c r="J410" s="2662"/>
      <c r="K410" s="2631"/>
      <c r="L410" s="2631"/>
      <c r="M410" s="2631"/>
      <c r="N410" s="2663"/>
      <c r="O410" s="2631"/>
      <c r="P410" s="2631"/>
      <c r="Q410" s="2631"/>
      <c r="R410" s="2631"/>
      <c r="S410" s="2631"/>
      <c r="T410" s="2631"/>
      <c r="U410" s="2660"/>
    </row>
    <row r="411" spans="1:26" ht="21" x14ac:dyDescent="0.35">
      <c r="A411" s="1233"/>
      <c r="B411" s="753" t="s">
        <v>268</v>
      </c>
      <c r="C411" s="1183"/>
      <c r="D411" s="2750" t="s">
        <v>506</v>
      </c>
      <c r="E411" s="2750" t="s">
        <v>506</v>
      </c>
      <c r="F411" s="2750" t="s">
        <v>267</v>
      </c>
      <c r="G411" s="2751"/>
      <c r="H411" s="2660">
        <f>H415+H412</f>
        <v>387</v>
      </c>
      <c r="I411" s="2661">
        <f>I415</f>
        <v>0</v>
      </c>
      <c r="J411" s="2662">
        <f>J415</f>
        <v>0</v>
      </c>
      <c r="K411" s="2631"/>
      <c r="L411" s="2631"/>
      <c r="M411" s="2631"/>
      <c r="N411" s="2660">
        <f>N415+N412</f>
        <v>402</v>
      </c>
      <c r="O411" s="2631"/>
      <c r="P411" s="2631"/>
      <c r="Q411" s="2631"/>
      <c r="R411" s="2631"/>
      <c r="S411" s="2631"/>
      <c r="T411" s="2631"/>
      <c r="U411" s="2660">
        <f>U415+U412</f>
        <v>412</v>
      </c>
    </row>
    <row r="412" spans="1:26" x14ac:dyDescent="0.35">
      <c r="A412" s="1233"/>
      <c r="B412" s="762" t="s">
        <v>1037</v>
      </c>
      <c r="C412" s="1183"/>
      <c r="D412" s="2750" t="s">
        <v>506</v>
      </c>
      <c r="E412" s="2750" t="s">
        <v>506</v>
      </c>
      <c r="F412" s="2750" t="s">
        <v>507</v>
      </c>
      <c r="G412" s="2751"/>
      <c r="H412" s="2660">
        <f>H414</f>
        <v>117</v>
      </c>
      <c r="I412" s="2661"/>
      <c r="J412" s="2662"/>
      <c r="K412" s="2631"/>
      <c r="L412" s="2631"/>
      <c r="M412" s="2631"/>
      <c r="N412" s="2663">
        <f>N414</f>
        <v>122</v>
      </c>
      <c r="O412" s="2631"/>
      <c r="P412" s="2631"/>
      <c r="Q412" s="2631"/>
      <c r="R412" s="2631"/>
      <c r="S412" s="2631"/>
      <c r="T412" s="2631"/>
      <c r="U412" s="2660">
        <f>U414</f>
        <v>122</v>
      </c>
    </row>
    <row r="413" spans="1:26" ht="21" x14ac:dyDescent="0.35">
      <c r="A413" s="1233"/>
      <c r="B413" s="753" t="s">
        <v>948</v>
      </c>
      <c r="C413" s="1183"/>
      <c r="D413" s="2750" t="s">
        <v>506</v>
      </c>
      <c r="E413" s="2750" t="s">
        <v>506</v>
      </c>
      <c r="F413" s="2750" t="s">
        <v>507</v>
      </c>
      <c r="G413" s="2751" t="s">
        <v>955</v>
      </c>
      <c r="H413" s="2660">
        <f>H414</f>
        <v>117</v>
      </c>
      <c r="I413" s="2661"/>
      <c r="J413" s="2662"/>
      <c r="K413" s="2631"/>
      <c r="L413" s="2631"/>
      <c r="M413" s="2631"/>
      <c r="N413" s="2663">
        <f t="shared" ref="N413:U413" si="89">N414</f>
        <v>122</v>
      </c>
      <c r="O413" s="2631">
        <f t="shared" si="89"/>
        <v>0</v>
      </c>
      <c r="P413" s="2631">
        <f t="shared" si="89"/>
        <v>0</v>
      </c>
      <c r="Q413" s="2631">
        <f t="shared" si="89"/>
        <v>0</v>
      </c>
      <c r="R413" s="2631">
        <f t="shared" si="89"/>
        <v>0</v>
      </c>
      <c r="S413" s="2631">
        <f t="shared" si="89"/>
        <v>0</v>
      </c>
      <c r="T413" s="2631">
        <f t="shared" si="89"/>
        <v>0</v>
      </c>
      <c r="U413" s="2660">
        <f t="shared" si="89"/>
        <v>122</v>
      </c>
    </row>
    <row r="414" spans="1:26" ht="21" x14ac:dyDescent="0.35">
      <c r="A414" s="1233"/>
      <c r="B414" s="1191" t="s">
        <v>454</v>
      </c>
      <c r="C414" s="1183"/>
      <c r="D414" s="2750" t="s">
        <v>506</v>
      </c>
      <c r="E414" s="2750" t="s">
        <v>506</v>
      </c>
      <c r="F414" s="2750" t="s">
        <v>507</v>
      </c>
      <c r="G414" s="2751" t="s">
        <v>1</v>
      </c>
      <c r="H414" s="2660">
        <v>117</v>
      </c>
      <c r="I414" s="2661"/>
      <c r="J414" s="2662"/>
      <c r="K414" s="2631"/>
      <c r="L414" s="2631"/>
      <c r="M414" s="2631"/>
      <c r="N414" s="2663">
        <v>122</v>
      </c>
      <c r="O414" s="2631"/>
      <c r="P414" s="2631"/>
      <c r="Q414" s="2631"/>
      <c r="R414" s="2631"/>
      <c r="S414" s="2631"/>
      <c r="T414" s="2631"/>
      <c r="U414" s="2660">
        <v>122</v>
      </c>
    </row>
    <row r="415" spans="1:26" x14ac:dyDescent="0.35">
      <c r="A415" s="1179"/>
      <c r="B415" s="1205" t="s">
        <v>266</v>
      </c>
      <c r="C415" s="1180"/>
      <c r="D415" s="2750" t="s">
        <v>506</v>
      </c>
      <c r="E415" s="2750" t="s">
        <v>506</v>
      </c>
      <c r="F415" s="2750" t="s">
        <v>263</v>
      </c>
      <c r="G415" s="2751"/>
      <c r="H415" s="2660">
        <f t="shared" ref="H415:J415" si="90">H417</f>
        <v>270</v>
      </c>
      <c r="I415" s="2661">
        <f t="shared" si="90"/>
        <v>0</v>
      </c>
      <c r="J415" s="2662">
        <f t="shared" si="90"/>
        <v>0</v>
      </c>
      <c r="K415" s="2631"/>
      <c r="L415" s="2631"/>
      <c r="M415" s="2631"/>
      <c r="N415" s="2663">
        <f t="shared" ref="N415" si="91">N417</f>
        <v>280</v>
      </c>
      <c r="O415" s="2631"/>
      <c r="P415" s="2631"/>
      <c r="Q415" s="2631"/>
      <c r="R415" s="2631"/>
      <c r="S415" s="2631"/>
      <c r="T415" s="2631"/>
      <c r="U415" s="2660">
        <f t="shared" ref="U415" si="92">U417</f>
        <v>290</v>
      </c>
    </row>
    <row r="416" spans="1:26" ht="21" x14ac:dyDescent="0.35">
      <c r="A416" s="1179"/>
      <c r="B416" s="753" t="s">
        <v>948</v>
      </c>
      <c r="C416" s="1180"/>
      <c r="D416" s="2750" t="s">
        <v>506</v>
      </c>
      <c r="E416" s="2750" t="s">
        <v>506</v>
      </c>
      <c r="F416" s="2750" t="s">
        <v>263</v>
      </c>
      <c r="G416" s="2751" t="s">
        <v>955</v>
      </c>
      <c r="H416" s="2660">
        <f t="shared" ref="H416:U416" si="93">H417</f>
        <v>270</v>
      </c>
      <c r="I416" s="2661">
        <f t="shared" si="93"/>
        <v>0</v>
      </c>
      <c r="J416" s="2662">
        <f t="shared" si="93"/>
        <v>0</v>
      </c>
      <c r="K416" s="2631">
        <f t="shared" si="93"/>
        <v>0</v>
      </c>
      <c r="L416" s="2631">
        <f t="shared" si="93"/>
        <v>0</v>
      </c>
      <c r="M416" s="2631">
        <f t="shared" si="93"/>
        <v>0</v>
      </c>
      <c r="N416" s="2663">
        <f t="shared" si="93"/>
        <v>280</v>
      </c>
      <c r="O416" s="2631">
        <f t="shared" si="93"/>
        <v>0</v>
      </c>
      <c r="P416" s="2631">
        <f t="shared" si="93"/>
        <v>0</v>
      </c>
      <c r="Q416" s="2631">
        <f t="shared" si="93"/>
        <v>0</v>
      </c>
      <c r="R416" s="2631">
        <f t="shared" si="93"/>
        <v>0</v>
      </c>
      <c r="S416" s="2631">
        <f t="shared" si="93"/>
        <v>0</v>
      </c>
      <c r="T416" s="2631">
        <f t="shared" si="93"/>
        <v>0</v>
      </c>
      <c r="U416" s="2660">
        <f t="shared" si="93"/>
        <v>290</v>
      </c>
    </row>
    <row r="417" spans="1:21" ht="21" x14ac:dyDescent="0.35">
      <c r="A417" s="1179"/>
      <c r="B417" s="1191" t="s">
        <v>454</v>
      </c>
      <c r="C417" s="1183"/>
      <c r="D417" s="2750" t="s">
        <v>506</v>
      </c>
      <c r="E417" s="2750" t="s">
        <v>506</v>
      </c>
      <c r="F417" s="2750" t="s">
        <v>263</v>
      </c>
      <c r="G417" s="2751" t="s">
        <v>1</v>
      </c>
      <c r="H417" s="2660">
        <v>270</v>
      </c>
      <c r="I417" s="2661"/>
      <c r="J417" s="2662"/>
      <c r="K417" s="2631"/>
      <c r="L417" s="2631"/>
      <c r="M417" s="2631"/>
      <c r="N417" s="2663">
        <v>280</v>
      </c>
      <c r="O417" s="2631"/>
      <c r="P417" s="2631"/>
      <c r="Q417" s="2631"/>
      <c r="R417" s="2631"/>
      <c r="S417" s="2631"/>
      <c r="T417" s="2631"/>
      <c r="U417" s="2660">
        <v>290</v>
      </c>
    </row>
    <row r="418" spans="1:21" ht="20.149999999999999" customHeight="1" x14ac:dyDescent="0.35">
      <c r="A418" s="1179"/>
      <c r="B418" s="1871" t="s">
        <v>1215</v>
      </c>
      <c r="C418" s="1183"/>
      <c r="D418" s="2750" t="s">
        <v>506</v>
      </c>
      <c r="E418" s="2750" t="s">
        <v>506</v>
      </c>
      <c r="F418" s="2750" t="s">
        <v>1211</v>
      </c>
      <c r="G418" s="2751"/>
      <c r="H418" s="2660">
        <f>H421+H424</f>
        <v>5499.95</v>
      </c>
      <c r="I418" s="2661"/>
      <c r="J418" s="2662"/>
      <c r="K418" s="2631"/>
      <c r="L418" s="2631"/>
      <c r="M418" s="2631"/>
      <c r="N418" s="2663">
        <f>N421+N424</f>
        <v>0</v>
      </c>
      <c r="O418" s="2631"/>
      <c r="P418" s="2631"/>
      <c r="Q418" s="2631"/>
      <c r="R418" s="2631"/>
      <c r="S418" s="2631"/>
      <c r="T418" s="2631"/>
      <c r="U418" s="2660">
        <f>U421+U424</f>
        <v>0</v>
      </c>
    </row>
    <row r="419" spans="1:21" x14ac:dyDescent="0.35">
      <c r="A419" s="1179"/>
      <c r="B419" s="1393" t="s">
        <v>1212</v>
      </c>
      <c r="C419" s="1183"/>
      <c r="D419" s="2750" t="s">
        <v>506</v>
      </c>
      <c r="E419" s="2750" t="s">
        <v>506</v>
      </c>
      <c r="F419" s="2750" t="s">
        <v>1213</v>
      </c>
      <c r="G419" s="2751"/>
      <c r="H419" s="2660">
        <f>H420</f>
        <v>5499.95</v>
      </c>
      <c r="I419" s="2661"/>
      <c r="J419" s="2662"/>
      <c r="K419" s="2631"/>
      <c r="L419" s="2631"/>
      <c r="M419" s="2631"/>
      <c r="N419" s="2663">
        <f>N420</f>
        <v>0</v>
      </c>
      <c r="O419" s="2631"/>
      <c r="P419" s="2631"/>
      <c r="Q419" s="2631"/>
      <c r="R419" s="2631"/>
      <c r="S419" s="2631"/>
      <c r="T419" s="2631"/>
      <c r="U419" s="2660">
        <f>U420</f>
        <v>0</v>
      </c>
    </row>
    <row r="420" spans="1:21" ht="21" x14ac:dyDescent="0.35">
      <c r="A420" s="1179"/>
      <c r="B420" s="753" t="s">
        <v>948</v>
      </c>
      <c r="C420" s="1183"/>
      <c r="D420" s="2750" t="s">
        <v>506</v>
      </c>
      <c r="E420" s="2750" t="s">
        <v>506</v>
      </c>
      <c r="F420" s="2750" t="s">
        <v>1213</v>
      </c>
      <c r="G420" s="2751" t="s">
        <v>955</v>
      </c>
      <c r="H420" s="2660">
        <f>H421</f>
        <v>5499.95</v>
      </c>
      <c r="I420" s="2661"/>
      <c r="J420" s="2662"/>
      <c r="K420" s="2631"/>
      <c r="L420" s="2631"/>
      <c r="M420" s="2631"/>
      <c r="N420" s="2663">
        <f>N421</f>
        <v>0</v>
      </c>
      <c r="O420" s="2631"/>
      <c r="P420" s="2631"/>
      <c r="Q420" s="2631"/>
      <c r="R420" s="2631"/>
      <c r="S420" s="2631"/>
      <c r="T420" s="2631"/>
      <c r="U420" s="2660">
        <f>U421</f>
        <v>0</v>
      </c>
    </row>
    <row r="421" spans="1:21" ht="21" x14ac:dyDescent="0.35">
      <c r="A421" s="1179"/>
      <c r="B421" s="1191" t="s">
        <v>454</v>
      </c>
      <c r="C421" s="1183"/>
      <c r="D421" s="2750" t="s">
        <v>506</v>
      </c>
      <c r="E421" s="2750" t="s">
        <v>506</v>
      </c>
      <c r="F421" s="2750" t="s">
        <v>1213</v>
      </c>
      <c r="G421" s="2751" t="s">
        <v>1</v>
      </c>
      <c r="H421" s="2660">
        <v>5499.95</v>
      </c>
      <c r="I421" s="2661"/>
      <c r="J421" s="2662"/>
      <c r="K421" s="2631"/>
      <c r="L421" s="2631"/>
      <c r="M421" s="2631"/>
      <c r="N421" s="2663">
        <v>0</v>
      </c>
      <c r="O421" s="2631"/>
      <c r="P421" s="2631"/>
      <c r="Q421" s="2631"/>
      <c r="R421" s="2631"/>
      <c r="S421" s="2631"/>
      <c r="T421" s="2631"/>
      <c r="U421" s="2660">
        <v>0</v>
      </c>
    </row>
    <row r="422" spans="1:21" ht="21" x14ac:dyDescent="0.35">
      <c r="A422" s="1179"/>
      <c r="B422" s="1393" t="s">
        <v>1216</v>
      </c>
      <c r="C422" s="1183"/>
      <c r="D422" s="2750" t="s">
        <v>506</v>
      </c>
      <c r="E422" s="2750" t="s">
        <v>506</v>
      </c>
      <c r="F422" s="2750" t="s">
        <v>1214</v>
      </c>
      <c r="G422" s="2751"/>
      <c r="H422" s="2660">
        <f>H423</f>
        <v>0</v>
      </c>
      <c r="I422" s="2661"/>
      <c r="J422" s="2662"/>
      <c r="K422" s="2631"/>
      <c r="L422" s="2631"/>
      <c r="M422" s="2631"/>
      <c r="N422" s="2663">
        <f>N423</f>
        <v>0</v>
      </c>
      <c r="O422" s="2631"/>
      <c r="P422" s="2631"/>
      <c r="Q422" s="2631"/>
      <c r="R422" s="2631"/>
      <c r="S422" s="2631"/>
      <c r="T422" s="2631"/>
      <c r="U422" s="2660">
        <f>U423</f>
        <v>0</v>
      </c>
    </row>
    <row r="423" spans="1:21" ht="21" x14ac:dyDescent="0.35">
      <c r="A423" s="1179"/>
      <c r="B423" s="753" t="s">
        <v>948</v>
      </c>
      <c r="C423" s="1183"/>
      <c r="D423" s="2750" t="s">
        <v>506</v>
      </c>
      <c r="E423" s="2750" t="s">
        <v>506</v>
      </c>
      <c r="F423" s="2750" t="s">
        <v>1214</v>
      </c>
      <c r="G423" s="2751" t="s">
        <v>955</v>
      </c>
      <c r="H423" s="2660">
        <f>H424</f>
        <v>0</v>
      </c>
      <c r="I423" s="2661"/>
      <c r="J423" s="2662"/>
      <c r="K423" s="2631"/>
      <c r="L423" s="2631"/>
      <c r="M423" s="2631"/>
      <c r="N423" s="2663">
        <f>N424</f>
        <v>0</v>
      </c>
      <c r="O423" s="2631"/>
      <c r="P423" s="2631"/>
      <c r="Q423" s="2631"/>
      <c r="R423" s="2631"/>
      <c r="S423" s="2631"/>
      <c r="T423" s="2631"/>
      <c r="U423" s="2660">
        <f>U424</f>
        <v>0</v>
      </c>
    </row>
    <row r="424" spans="1:21" ht="21" x14ac:dyDescent="0.35">
      <c r="A424" s="1179"/>
      <c r="B424" s="1191" t="s">
        <v>454</v>
      </c>
      <c r="C424" s="1183"/>
      <c r="D424" s="2750" t="s">
        <v>506</v>
      </c>
      <c r="E424" s="2750" t="s">
        <v>506</v>
      </c>
      <c r="F424" s="2750" t="s">
        <v>1214</v>
      </c>
      <c r="G424" s="2751" t="s">
        <v>1</v>
      </c>
      <c r="H424" s="2660">
        <v>0</v>
      </c>
      <c r="I424" s="2661"/>
      <c r="J424" s="2662"/>
      <c r="K424" s="2631"/>
      <c r="L424" s="2631"/>
      <c r="M424" s="2631"/>
      <c r="N424" s="2663">
        <v>0</v>
      </c>
      <c r="O424" s="2631"/>
      <c r="P424" s="2631"/>
      <c r="Q424" s="2631"/>
      <c r="R424" s="2631"/>
      <c r="S424" s="2631"/>
      <c r="T424" s="2631"/>
      <c r="U424" s="2660">
        <v>0</v>
      </c>
    </row>
    <row r="425" spans="1:21" s="760" customFormat="1" x14ac:dyDescent="0.35">
      <c r="A425" s="842"/>
      <c r="B425" s="1251" t="s">
        <v>460</v>
      </c>
      <c r="C425" s="408"/>
      <c r="D425" s="2757" t="s">
        <v>453</v>
      </c>
      <c r="E425" s="2757" t="s">
        <v>459</v>
      </c>
      <c r="F425" s="2750"/>
      <c r="G425" s="2751"/>
      <c r="H425" s="2660">
        <f>H426+H445</f>
        <v>18222.86</v>
      </c>
      <c r="I425" s="2661"/>
      <c r="J425" s="2662"/>
      <c r="K425" s="2631"/>
      <c r="L425" s="2631"/>
      <c r="M425" s="2631"/>
      <c r="N425" s="2663">
        <f>N426+N445</f>
        <v>18910.781640000001</v>
      </c>
      <c r="O425" s="2631"/>
      <c r="P425" s="2631"/>
      <c r="Q425" s="2631"/>
      <c r="R425" s="2631"/>
      <c r="S425" s="2631"/>
      <c r="T425" s="2631"/>
      <c r="U425" s="2660">
        <f>U426+U445</f>
        <v>19703.75418</v>
      </c>
    </row>
    <row r="426" spans="1:21" x14ac:dyDescent="0.35">
      <c r="A426" s="1179"/>
      <c r="B426" s="1173" t="s">
        <v>87</v>
      </c>
      <c r="C426" s="1177"/>
      <c r="D426" s="2750" t="s">
        <v>453</v>
      </c>
      <c r="E426" s="2750" t="s">
        <v>456</v>
      </c>
      <c r="F426" s="2750"/>
      <c r="G426" s="2751"/>
      <c r="H426" s="2660">
        <f>H427+H437</f>
        <v>16347.86</v>
      </c>
      <c r="I426" s="2661">
        <f>I427+I438</f>
        <v>0</v>
      </c>
      <c r="J426" s="2662">
        <f>J427+J438</f>
        <v>0</v>
      </c>
      <c r="K426" s="2631"/>
      <c r="L426" s="2631"/>
      <c r="M426" s="2631"/>
      <c r="N426" s="2663">
        <f>N427+N437</f>
        <v>16923.281640000001</v>
      </c>
      <c r="O426" s="2631"/>
      <c r="P426" s="2631"/>
      <c r="Q426" s="2631"/>
      <c r="R426" s="2631"/>
      <c r="S426" s="2631"/>
      <c r="T426" s="2631"/>
      <c r="U426" s="2660">
        <f>U427+U437</f>
        <v>14897.00418</v>
      </c>
    </row>
    <row r="427" spans="1:21" ht="24.75" customHeight="1" x14ac:dyDescent="0.35">
      <c r="A427" s="1179"/>
      <c r="B427" s="753" t="s">
        <v>932</v>
      </c>
      <c r="C427" s="1177"/>
      <c r="D427" s="2750" t="s">
        <v>453</v>
      </c>
      <c r="E427" s="2750" t="s">
        <v>456</v>
      </c>
      <c r="F427" s="2750" t="s">
        <v>273</v>
      </c>
      <c r="G427" s="2751"/>
      <c r="H427" s="2660">
        <f>H428</f>
        <v>16347.86</v>
      </c>
      <c r="I427" s="2661">
        <f t="shared" ref="I427:J429" si="94">I428</f>
        <v>0</v>
      </c>
      <c r="J427" s="2662">
        <f t="shared" si="94"/>
        <v>0</v>
      </c>
      <c r="K427" s="2639">
        <f>K432+K434+K436+K441+K451+K444</f>
        <v>976.8</v>
      </c>
      <c r="L427" s="2631"/>
      <c r="M427" s="2631"/>
      <c r="N427" s="2663">
        <f>N428</f>
        <v>16923.281640000001</v>
      </c>
      <c r="O427" s="2631"/>
      <c r="P427" s="2631"/>
      <c r="Q427" s="2631"/>
      <c r="R427" s="2631"/>
      <c r="S427" s="2631"/>
      <c r="T427" s="2631"/>
      <c r="U427" s="2660">
        <f>U428</f>
        <v>14897.00418</v>
      </c>
    </row>
    <row r="428" spans="1:21" ht="27.75" customHeight="1" x14ac:dyDescent="0.35">
      <c r="A428" s="1179"/>
      <c r="B428" s="1205" t="s">
        <v>911</v>
      </c>
      <c r="C428" s="1180"/>
      <c r="D428" s="2750" t="s">
        <v>453</v>
      </c>
      <c r="E428" s="2750" t="s">
        <v>456</v>
      </c>
      <c r="F428" s="2750" t="s">
        <v>260</v>
      </c>
      <c r="G428" s="2751"/>
      <c r="H428" s="2660">
        <f>H429</f>
        <v>16347.86</v>
      </c>
      <c r="I428" s="2661">
        <f t="shared" si="94"/>
        <v>0</v>
      </c>
      <c r="J428" s="2662">
        <f t="shared" si="94"/>
        <v>0</v>
      </c>
      <c r="K428" s="2631"/>
      <c r="L428" s="2631"/>
      <c r="M428" s="2631"/>
      <c r="N428" s="2663">
        <f>N429</f>
        <v>16923.281640000001</v>
      </c>
      <c r="O428" s="2631"/>
      <c r="P428" s="2631"/>
      <c r="Q428" s="2631"/>
      <c r="R428" s="2631"/>
      <c r="S428" s="2631"/>
      <c r="T428" s="2631"/>
      <c r="U428" s="2660">
        <f>U429</f>
        <v>14897.00418</v>
      </c>
    </row>
    <row r="429" spans="1:21" x14ac:dyDescent="0.35">
      <c r="A429" s="842"/>
      <c r="B429" s="1205" t="s">
        <v>259</v>
      </c>
      <c r="C429" s="1180"/>
      <c r="D429" s="2750" t="s">
        <v>453</v>
      </c>
      <c r="E429" s="2750" t="s">
        <v>456</v>
      </c>
      <c r="F429" s="2750" t="s">
        <v>258</v>
      </c>
      <c r="G429" s="2751"/>
      <c r="H429" s="2690">
        <f>H432+H434+H436+H444</f>
        <v>16347.86</v>
      </c>
      <c r="I429" s="2691">
        <f t="shared" si="94"/>
        <v>0</v>
      </c>
      <c r="J429" s="2692">
        <f t="shared" si="94"/>
        <v>0</v>
      </c>
      <c r="K429" s="2693"/>
      <c r="L429" s="2693"/>
      <c r="M429" s="2693"/>
      <c r="N429" s="2694">
        <f>N432+N434+N436+N444</f>
        <v>16923.281640000001</v>
      </c>
      <c r="O429" s="2693"/>
      <c r="P429" s="2693"/>
      <c r="Q429" s="2693"/>
      <c r="R429" s="2693"/>
      <c r="S429" s="2693"/>
      <c r="T429" s="2693"/>
      <c r="U429" s="2690">
        <f>U432+U434+U436+U444</f>
        <v>14897.00418</v>
      </c>
    </row>
    <row r="430" spans="1:21" x14ac:dyDescent="0.35">
      <c r="A430" s="842"/>
      <c r="B430" s="1197" t="s">
        <v>351</v>
      </c>
      <c r="C430" s="1180"/>
      <c r="D430" s="2750" t="s">
        <v>453</v>
      </c>
      <c r="E430" s="2750" t="s">
        <v>456</v>
      </c>
      <c r="F430" s="2750" t="s">
        <v>254</v>
      </c>
      <c r="G430" s="2751"/>
      <c r="H430" s="2690">
        <f>H432+H434+H436</f>
        <v>12784.26</v>
      </c>
      <c r="I430" s="2691">
        <f>I432</f>
        <v>0</v>
      </c>
      <c r="J430" s="2692">
        <f>J432</f>
        <v>0</v>
      </c>
      <c r="K430" s="2693"/>
      <c r="L430" s="2693"/>
      <c r="M430" s="2693"/>
      <c r="N430" s="2694">
        <f>N432+N434+N436</f>
        <v>13218.137640000001</v>
      </c>
      <c r="O430" s="2693"/>
      <c r="P430" s="2693"/>
      <c r="Q430" s="2693"/>
      <c r="R430" s="2693"/>
      <c r="S430" s="2693"/>
      <c r="T430" s="2693"/>
      <c r="U430" s="2690">
        <f>U432+U434+U436</f>
        <v>14897.00418</v>
      </c>
    </row>
    <row r="431" spans="1:21" ht="52" x14ac:dyDescent="0.35">
      <c r="A431" s="842"/>
      <c r="B431" s="49" t="s">
        <v>1063</v>
      </c>
      <c r="C431" s="1180"/>
      <c r="D431" s="2750" t="s">
        <v>453</v>
      </c>
      <c r="E431" s="2750" t="s">
        <v>456</v>
      </c>
      <c r="F431" s="2750" t="s">
        <v>254</v>
      </c>
      <c r="G431" s="2751" t="s">
        <v>1062</v>
      </c>
      <c r="H431" s="2690">
        <f t="shared" ref="H431:U431" si="95">H432</f>
        <v>8228.9009999999998</v>
      </c>
      <c r="I431" s="2691">
        <f t="shared" si="95"/>
        <v>0</v>
      </c>
      <c r="J431" s="2692">
        <f t="shared" si="95"/>
        <v>0</v>
      </c>
      <c r="K431" s="2693">
        <f t="shared" si="95"/>
        <v>0</v>
      </c>
      <c r="L431" s="2693">
        <f t="shared" si="95"/>
        <v>0</v>
      </c>
      <c r="M431" s="2693">
        <f t="shared" si="95"/>
        <v>0</v>
      </c>
      <c r="N431" s="2694">
        <f t="shared" si="95"/>
        <v>8558.0571</v>
      </c>
      <c r="O431" s="2693">
        <f t="shared" si="95"/>
        <v>0</v>
      </c>
      <c r="P431" s="2693">
        <f t="shared" si="95"/>
        <v>0</v>
      </c>
      <c r="Q431" s="2693">
        <f t="shared" si="95"/>
        <v>0</v>
      </c>
      <c r="R431" s="2693">
        <f t="shared" si="95"/>
        <v>0</v>
      </c>
      <c r="S431" s="2693">
        <f t="shared" si="95"/>
        <v>0</v>
      </c>
      <c r="T431" s="2693">
        <f t="shared" si="95"/>
        <v>0</v>
      </c>
      <c r="U431" s="2690">
        <f t="shared" si="95"/>
        <v>8900.3799999999992</v>
      </c>
    </row>
    <row r="432" spans="1:21" x14ac:dyDescent="0.35">
      <c r="A432" s="842"/>
      <c r="B432" s="753" t="s">
        <v>840</v>
      </c>
      <c r="C432" s="1180"/>
      <c r="D432" s="2750" t="s">
        <v>453</v>
      </c>
      <c r="E432" s="2750" t="s">
        <v>456</v>
      </c>
      <c r="F432" s="2750" t="s">
        <v>254</v>
      </c>
      <c r="G432" s="2751" t="s">
        <v>255</v>
      </c>
      <c r="H432" s="2660">
        <v>8228.9009999999998</v>
      </c>
      <c r="I432" s="2661"/>
      <c r="J432" s="2662"/>
      <c r="K432" s="2631"/>
      <c r="L432" s="2631"/>
      <c r="M432" s="2631"/>
      <c r="N432" s="2663">
        <v>8558.0571</v>
      </c>
      <c r="O432" s="2631"/>
      <c r="P432" s="2631"/>
      <c r="Q432" s="2631"/>
      <c r="R432" s="2631"/>
      <c r="S432" s="2631"/>
      <c r="T432" s="2631"/>
      <c r="U432" s="2660">
        <v>8900.3799999999992</v>
      </c>
    </row>
    <row r="433" spans="1:27" ht="21" x14ac:dyDescent="0.35">
      <c r="A433" s="842"/>
      <c r="B433" s="753" t="s">
        <v>948</v>
      </c>
      <c r="C433" s="1180"/>
      <c r="D433" s="2750" t="s">
        <v>453</v>
      </c>
      <c r="E433" s="2750" t="s">
        <v>456</v>
      </c>
      <c r="F433" s="2750" t="s">
        <v>254</v>
      </c>
      <c r="G433" s="2751" t="s">
        <v>955</v>
      </c>
      <c r="H433" s="2660">
        <f t="shared" ref="H433:U433" si="96">H434</f>
        <v>4554.3590000000004</v>
      </c>
      <c r="I433" s="2661">
        <f t="shared" si="96"/>
        <v>0</v>
      </c>
      <c r="J433" s="2662">
        <f t="shared" si="96"/>
        <v>0</v>
      </c>
      <c r="K433" s="2631">
        <f t="shared" si="96"/>
        <v>0</v>
      </c>
      <c r="L433" s="2631">
        <f t="shared" si="96"/>
        <v>0</v>
      </c>
      <c r="M433" s="2631">
        <f t="shared" si="96"/>
        <v>0</v>
      </c>
      <c r="N433" s="2663">
        <f t="shared" si="96"/>
        <v>4659.0805399999999</v>
      </c>
      <c r="O433" s="2631">
        <f t="shared" si="96"/>
        <v>0</v>
      </c>
      <c r="P433" s="2631">
        <f t="shared" si="96"/>
        <v>0</v>
      </c>
      <c r="Q433" s="2631">
        <f t="shared" si="96"/>
        <v>0</v>
      </c>
      <c r="R433" s="2631">
        <f t="shared" si="96"/>
        <v>0</v>
      </c>
      <c r="S433" s="2631">
        <f t="shared" si="96"/>
        <v>0</v>
      </c>
      <c r="T433" s="2631">
        <f t="shared" si="96"/>
        <v>0</v>
      </c>
      <c r="U433" s="2660">
        <f t="shared" si="96"/>
        <v>5995.6241799999998</v>
      </c>
    </row>
    <row r="434" spans="1:27" ht="21" x14ac:dyDescent="0.35">
      <c r="A434" s="1179"/>
      <c r="B434" s="1182" t="s">
        <v>454</v>
      </c>
      <c r="C434" s="1183"/>
      <c r="D434" s="2750" t="s">
        <v>453</v>
      </c>
      <c r="E434" s="2750" t="s">
        <v>456</v>
      </c>
      <c r="F434" s="2750" t="s">
        <v>254</v>
      </c>
      <c r="G434" s="2751" t="s">
        <v>1</v>
      </c>
      <c r="H434" s="2660">
        <f>3476+918.359+160</f>
        <v>4554.3590000000004</v>
      </c>
      <c r="I434" s="2661"/>
      <c r="J434" s="2662"/>
      <c r="K434" s="2647"/>
      <c r="L434" s="2631"/>
      <c r="M434" s="2631"/>
      <c r="N434" s="2663">
        <v>4659.0805399999999</v>
      </c>
      <c r="O434" s="2631"/>
      <c r="P434" s="2631"/>
      <c r="Q434" s="2631"/>
      <c r="R434" s="2631"/>
      <c r="S434" s="2631"/>
      <c r="T434" s="2631"/>
      <c r="U434" s="2660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35">
      <c r="A435" s="1179"/>
      <c r="B435" s="1182" t="s">
        <v>1068</v>
      </c>
      <c r="C435" s="1183"/>
      <c r="D435" s="2750" t="s">
        <v>453</v>
      </c>
      <c r="E435" s="2750" t="s">
        <v>456</v>
      </c>
      <c r="F435" s="2750" t="s">
        <v>254</v>
      </c>
      <c r="G435" s="2751" t="s">
        <v>1064</v>
      </c>
      <c r="H435" s="2660">
        <f t="shared" ref="H435:U435" si="97">H436</f>
        <v>1</v>
      </c>
      <c r="I435" s="2661">
        <f t="shared" si="97"/>
        <v>0</v>
      </c>
      <c r="J435" s="2662">
        <f t="shared" si="97"/>
        <v>0</v>
      </c>
      <c r="K435" s="2647">
        <f t="shared" si="97"/>
        <v>0</v>
      </c>
      <c r="L435" s="2631">
        <f t="shared" si="97"/>
        <v>0</v>
      </c>
      <c r="M435" s="2631">
        <f t="shared" si="97"/>
        <v>0</v>
      </c>
      <c r="N435" s="2663">
        <f t="shared" si="97"/>
        <v>1</v>
      </c>
      <c r="O435" s="2631">
        <f t="shared" si="97"/>
        <v>0</v>
      </c>
      <c r="P435" s="2631">
        <f t="shared" si="97"/>
        <v>0</v>
      </c>
      <c r="Q435" s="2631">
        <f t="shared" si="97"/>
        <v>0</v>
      </c>
      <c r="R435" s="2631">
        <f t="shared" si="97"/>
        <v>0</v>
      </c>
      <c r="S435" s="2631">
        <f t="shared" si="97"/>
        <v>0</v>
      </c>
      <c r="T435" s="2631">
        <f t="shared" si="97"/>
        <v>0</v>
      </c>
      <c r="U435" s="2660">
        <f t="shared" si="97"/>
        <v>1</v>
      </c>
    </row>
    <row r="436" spans="1:27" x14ac:dyDescent="0.35">
      <c r="A436" s="1179"/>
      <c r="B436" s="1182" t="s">
        <v>457</v>
      </c>
      <c r="C436" s="1183"/>
      <c r="D436" s="2750" t="s">
        <v>453</v>
      </c>
      <c r="E436" s="2750" t="s">
        <v>456</v>
      </c>
      <c r="F436" s="2750" t="s">
        <v>254</v>
      </c>
      <c r="G436" s="2751" t="s">
        <v>91</v>
      </c>
      <c r="H436" s="2660">
        <v>1</v>
      </c>
      <c r="I436" s="2661"/>
      <c r="J436" s="2662"/>
      <c r="K436" s="2631"/>
      <c r="L436" s="2631"/>
      <c r="M436" s="2631"/>
      <c r="N436" s="2663">
        <v>1</v>
      </c>
      <c r="O436" s="2631"/>
      <c r="P436" s="2631"/>
      <c r="Q436" s="2631"/>
      <c r="R436" s="2631"/>
      <c r="S436" s="2631"/>
      <c r="T436" s="2631"/>
      <c r="U436" s="2660">
        <v>1</v>
      </c>
    </row>
    <row r="437" spans="1:27" s="760" customFormat="1" ht="31.5" hidden="1" x14ac:dyDescent="0.35">
      <c r="A437" s="842"/>
      <c r="B437" s="1242" t="s">
        <v>499</v>
      </c>
      <c r="C437" s="1207"/>
      <c r="D437" s="2750" t="s">
        <v>453</v>
      </c>
      <c r="E437" s="2750" t="s">
        <v>456</v>
      </c>
      <c r="F437" s="2750" t="s">
        <v>273</v>
      </c>
      <c r="G437" s="2751"/>
      <c r="H437" s="2660">
        <f>H438</f>
        <v>0</v>
      </c>
      <c r="I437" s="2661"/>
      <c r="J437" s="2662"/>
      <c r="K437" s="2631"/>
      <c r="L437" s="2631"/>
      <c r="M437" s="2631"/>
      <c r="N437" s="2663">
        <f>N438</f>
        <v>0</v>
      </c>
      <c r="O437" s="2631"/>
      <c r="P437" s="2631"/>
      <c r="Q437" s="2631"/>
      <c r="R437" s="2631"/>
      <c r="S437" s="2631"/>
      <c r="T437" s="2631"/>
      <c r="U437" s="2660">
        <f>U438</f>
        <v>0</v>
      </c>
    </row>
    <row r="438" spans="1:27" hidden="1" x14ac:dyDescent="0.35">
      <c r="A438" s="1179"/>
      <c r="B438" s="753" t="s">
        <v>109</v>
      </c>
      <c r="C438" s="1180"/>
      <c r="D438" s="2750" t="s">
        <v>453</v>
      </c>
      <c r="E438" s="2750" t="s">
        <v>456</v>
      </c>
      <c r="F438" s="2750" t="s">
        <v>260</v>
      </c>
      <c r="G438" s="2751"/>
      <c r="H438" s="2660">
        <f>H439</f>
        <v>0</v>
      </c>
      <c r="I438" s="2661">
        <f>I439</f>
        <v>0</v>
      </c>
      <c r="J438" s="2662">
        <f>J439</f>
        <v>0</v>
      </c>
      <c r="K438" s="2631"/>
      <c r="L438" s="2631"/>
      <c r="M438" s="2631"/>
      <c r="N438" s="2663">
        <f>N439</f>
        <v>0</v>
      </c>
      <c r="O438" s="2631"/>
      <c r="P438" s="2631"/>
      <c r="Q438" s="2631"/>
      <c r="R438" s="2631"/>
      <c r="S438" s="2631"/>
      <c r="T438" s="2631"/>
      <c r="U438" s="2660">
        <f>U439</f>
        <v>0</v>
      </c>
    </row>
    <row r="439" spans="1:27" hidden="1" x14ac:dyDescent="0.35">
      <c r="A439" s="1179"/>
      <c r="B439" s="1205" t="s">
        <v>109</v>
      </c>
      <c r="C439" s="1180"/>
      <c r="D439" s="2750" t="s">
        <v>453</v>
      </c>
      <c r="E439" s="2750" t="s">
        <v>456</v>
      </c>
      <c r="F439" s="2750" t="s">
        <v>258</v>
      </c>
      <c r="G439" s="2751"/>
      <c r="H439" s="2660"/>
      <c r="I439" s="2661"/>
      <c r="J439" s="2662"/>
      <c r="K439" s="2631"/>
      <c r="L439" s="2631"/>
      <c r="M439" s="2631"/>
      <c r="N439" s="2663"/>
      <c r="O439" s="2631"/>
      <c r="P439" s="2631"/>
      <c r="Q439" s="2631"/>
      <c r="R439" s="2631"/>
      <c r="S439" s="2631"/>
      <c r="T439" s="2631"/>
      <c r="U439" s="2660"/>
    </row>
    <row r="440" spans="1:27" ht="21" hidden="1" x14ac:dyDescent="0.35">
      <c r="A440" s="1179"/>
      <c r="B440" s="1205" t="s">
        <v>830</v>
      </c>
      <c r="C440" s="1180"/>
      <c r="D440" s="2750" t="s">
        <v>453</v>
      </c>
      <c r="E440" s="2750" t="s">
        <v>456</v>
      </c>
      <c r="F440" s="2750" t="s">
        <v>831</v>
      </c>
      <c r="G440" s="2751"/>
      <c r="H440" s="2660">
        <f>H441</f>
        <v>0</v>
      </c>
      <c r="I440" s="2661">
        <f>I441+I447</f>
        <v>0</v>
      </c>
      <c r="J440" s="2662">
        <f>J441+J447</f>
        <v>0</v>
      </c>
      <c r="K440" s="2631"/>
      <c r="L440" s="2631"/>
      <c r="M440" s="2631"/>
      <c r="N440" s="2663">
        <f>N441</f>
        <v>0</v>
      </c>
      <c r="O440" s="2631"/>
      <c r="P440" s="2631"/>
      <c r="Q440" s="2631"/>
      <c r="R440" s="2631"/>
      <c r="S440" s="2631"/>
      <c r="T440" s="2631"/>
      <c r="U440" s="2660">
        <f>U441</f>
        <v>0</v>
      </c>
    </row>
    <row r="441" spans="1:27" hidden="1" x14ac:dyDescent="0.35">
      <c r="A441" s="1179"/>
      <c r="B441" s="1197" t="s">
        <v>841</v>
      </c>
      <c r="C441" s="1180"/>
      <c r="D441" s="2750" t="s">
        <v>453</v>
      </c>
      <c r="E441" s="2750" t="s">
        <v>456</v>
      </c>
      <c r="F441" s="2750" t="s">
        <v>831</v>
      </c>
      <c r="G441" s="2751" t="s">
        <v>255</v>
      </c>
      <c r="H441" s="2660"/>
      <c r="I441" s="2661">
        <f>I445</f>
        <v>0</v>
      </c>
      <c r="J441" s="2662">
        <f>J445</f>
        <v>0</v>
      </c>
      <c r="K441" s="2631">
        <v>976.8</v>
      </c>
      <c r="L441" s="2631"/>
      <c r="M441" s="2631"/>
      <c r="N441" s="2663"/>
      <c r="O441" s="2631"/>
      <c r="P441" s="2631"/>
      <c r="Q441" s="2631"/>
      <c r="R441" s="2631"/>
      <c r="S441" s="2631"/>
      <c r="T441" s="2631"/>
      <c r="U441" s="2660"/>
    </row>
    <row r="442" spans="1:27" ht="42" x14ac:dyDescent="0.35">
      <c r="A442" s="1179"/>
      <c r="B442" s="1205" t="s">
        <v>1203</v>
      </c>
      <c r="C442" s="1180"/>
      <c r="D442" s="2750" t="s">
        <v>453</v>
      </c>
      <c r="E442" s="2750" t="s">
        <v>456</v>
      </c>
      <c r="F442" s="2750" t="s">
        <v>970</v>
      </c>
      <c r="G442" s="2751"/>
      <c r="H442" s="2660">
        <f>H444</f>
        <v>3563.6</v>
      </c>
      <c r="I442" s="2661"/>
      <c r="J442" s="2662"/>
      <c r="K442" s="2631"/>
      <c r="L442" s="2631"/>
      <c r="M442" s="2631"/>
      <c r="N442" s="2663">
        <f>N444</f>
        <v>3705.1439999999998</v>
      </c>
      <c r="O442" s="2631"/>
      <c r="P442" s="2631"/>
      <c r="Q442" s="2631"/>
      <c r="R442" s="2631"/>
      <c r="S442" s="2631"/>
      <c r="T442" s="2631"/>
      <c r="U442" s="2660">
        <f>U444</f>
        <v>0</v>
      </c>
      <c r="V442" s="1861">
        <v>2666.2</v>
      </c>
      <c r="W442" s="1861">
        <v>2666.2</v>
      </c>
      <c r="X442" s="1861">
        <v>2666.2</v>
      </c>
      <c r="Y442" s="2266" t="s">
        <v>444</v>
      </c>
    </row>
    <row r="443" spans="1:27" ht="52" x14ac:dyDescent="0.35">
      <c r="A443" s="1179"/>
      <c r="B443" s="49" t="s">
        <v>1063</v>
      </c>
      <c r="C443" s="1180"/>
      <c r="D443" s="2750" t="s">
        <v>453</v>
      </c>
      <c r="E443" s="2750" t="s">
        <v>456</v>
      </c>
      <c r="F443" s="2750" t="s">
        <v>970</v>
      </c>
      <c r="G443" s="2751" t="s">
        <v>1062</v>
      </c>
      <c r="H443" s="2660">
        <f t="shared" ref="H443:U443" si="98">H444</f>
        <v>3563.6</v>
      </c>
      <c r="I443" s="2661">
        <f t="shared" si="98"/>
        <v>0</v>
      </c>
      <c r="J443" s="2662">
        <f t="shared" si="98"/>
        <v>0</v>
      </c>
      <c r="K443" s="2631">
        <f t="shared" si="98"/>
        <v>0</v>
      </c>
      <c r="L443" s="2631">
        <f t="shared" si="98"/>
        <v>0</v>
      </c>
      <c r="M443" s="2631">
        <f t="shared" si="98"/>
        <v>0</v>
      </c>
      <c r="N443" s="2680">
        <f t="shared" si="98"/>
        <v>3705.1439999999998</v>
      </c>
      <c r="O443" s="2631">
        <f t="shared" si="98"/>
        <v>0</v>
      </c>
      <c r="P443" s="2631">
        <f t="shared" si="98"/>
        <v>0</v>
      </c>
      <c r="Q443" s="2631">
        <f t="shared" si="98"/>
        <v>0</v>
      </c>
      <c r="R443" s="2631">
        <f t="shared" si="98"/>
        <v>0</v>
      </c>
      <c r="S443" s="2631">
        <f t="shared" si="98"/>
        <v>0</v>
      </c>
      <c r="T443" s="2631">
        <f t="shared" si="98"/>
        <v>0</v>
      </c>
      <c r="U443" s="2660">
        <f t="shared" si="98"/>
        <v>0</v>
      </c>
      <c r="V443" s="1861"/>
      <c r="W443" s="1861"/>
      <c r="X443" s="1861"/>
      <c r="Y443" s="2266"/>
    </row>
    <row r="444" spans="1:27" x14ac:dyDescent="0.35">
      <c r="A444" s="1179"/>
      <c r="B444" s="1197" t="s">
        <v>841</v>
      </c>
      <c r="C444" s="1180"/>
      <c r="D444" s="2750" t="s">
        <v>453</v>
      </c>
      <c r="E444" s="2750" t="s">
        <v>456</v>
      </c>
      <c r="F444" s="2750" t="s">
        <v>970</v>
      </c>
      <c r="G444" s="2751" t="s">
        <v>255</v>
      </c>
      <c r="H444" s="2660">
        <f>1781.8+1781.8</f>
        <v>3563.6</v>
      </c>
      <c r="I444" s="2661"/>
      <c r="J444" s="2662"/>
      <c r="K444" s="2631"/>
      <c r="L444" s="2631"/>
      <c r="M444" s="2631"/>
      <c r="N444" s="2660">
        <f>1853.072+1853.072-1</f>
        <v>3705.1439999999998</v>
      </c>
      <c r="O444" s="2631"/>
      <c r="P444" s="2631"/>
      <c r="Q444" s="2631"/>
      <c r="R444" s="2631"/>
      <c r="S444" s="2631"/>
      <c r="T444" s="2631"/>
      <c r="U444" s="2660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35">
      <c r="A445" s="842"/>
      <c r="B445" s="1252" t="s">
        <v>244</v>
      </c>
      <c r="C445" s="1177"/>
      <c r="D445" s="2750" t="s">
        <v>453</v>
      </c>
      <c r="E445" s="2750" t="s">
        <v>452</v>
      </c>
      <c r="F445" s="2750"/>
      <c r="G445" s="2751"/>
      <c r="H445" s="2660">
        <f>H446</f>
        <v>1875</v>
      </c>
      <c r="I445" s="2661">
        <f>I446</f>
        <v>0</v>
      </c>
      <c r="J445" s="2662">
        <f>J446</f>
        <v>0</v>
      </c>
      <c r="K445" s="2631"/>
      <c r="L445" s="2631"/>
      <c r="M445" s="2631"/>
      <c r="N445" s="2663">
        <f>N446</f>
        <v>1987.5</v>
      </c>
      <c r="O445" s="2631"/>
      <c r="P445" s="2631"/>
      <c r="Q445" s="2631"/>
      <c r="R445" s="2631"/>
      <c r="S445" s="2631"/>
      <c r="T445" s="2631"/>
      <c r="U445" s="2660">
        <f>U446</f>
        <v>4806.75</v>
      </c>
    </row>
    <row r="446" spans="1:27" ht="31.5" x14ac:dyDescent="0.35">
      <c r="A446" s="1179"/>
      <c r="B446" s="1242" t="s">
        <v>933</v>
      </c>
      <c r="C446" s="1183"/>
      <c r="D446" s="2750" t="s">
        <v>453</v>
      </c>
      <c r="E446" s="2750" t="s">
        <v>452</v>
      </c>
      <c r="F446" s="2750" t="s">
        <v>273</v>
      </c>
      <c r="G446" s="2751"/>
      <c r="H446" s="2660">
        <f>H447</f>
        <v>1875</v>
      </c>
      <c r="I446" s="2661"/>
      <c r="J446" s="2662"/>
      <c r="K446" s="2631"/>
      <c r="L446" s="2631"/>
      <c r="M446" s="2631"/>
      <c r="N446" s="2663">
        <f>N447</f>
        <v>1987.5</v>
      </c>
      <c r="O446" s="2631"/>
      <c r="P446" s="2631"/>
      <c r="Q446" s="2631"/>
      <c r="R446" s="2631"/>
      <c r="S446" s="2631"/>
      <c r="T446" s="2631"/>
      <c r="U446" s="2660">
        <f>U447</f>
        <v>4806.75</v>
      </c>
    </row>
    <row r="447" spans="1:27" ht="21" x14ac:dyDescent="0.35">
      <c r="A447" s="1179"/>
      <c r="B447" s="753" t="s">
        <v>836</v>
      </c>
      <c r="C447" s="1183"/>
      <c r="D447" s="2750" t="s">
        <v>453</v>
      </c>
      <c r="E447" s="2750" t="s">
        <v>452</v>
      </c>
      <c r="F447" s="2750" t="s">
        <v>251</v>
      </c>
      <c r="G447" s="2751"/>
      <c r="H447" s="2660">
        <f>H448</f>
        <v>1875</v>
      </c>
      <c r="I447" s="2661">
        <f>I448+I451</f>
        <v>0</v>
      </c>
      <c r="J447" s="2662">
        <f>J448+J451</f>
        <v>0</v>
      </c>
      <c r="K447" s="2631"/>
      <c r="L447" s="2631"/>
      <c r="M447" s="2631"/>
      <c r="N447" s="2663">
        <f>N448</f>
        <v>1987.5</v>
      </c>
      <c r="O447" s="2631"/>
      <c r="P447" s="2631"/>
      <c r="Q447" s="2631"/>
      <c r="R447" s="2631"/>
      <c r="S447" s="2631"/>
      <c r="T447" s="2631"/>
      <c r="U447" s="2660">
        <f>U448</f>
        <v>4806.75</v>
      </c>
    </row>
    <row r="448" spans="1:27" x14ac:dyDescent="0.35">
      <c r="A448" s="1179"/>
      <c r="B448" s="753" t="s">
        <v>250</v>
      </c>
      <c r="C448" s="1180"/>
      <c r="D448" s="2750" t="s">
        <v>453</v>
      </c>
      <c r="E448" s="2750" t="s">
        <v>452</v>
      </c>
      <c r="F448" s="2750" t="s">
        <v>249</v>
      </c>
      <c r="G448" s="2751"/>
      <c r="H448" s="2660">
        <f>H449</f>
        <v>1875</v>
      </c>
      <c r="I448" s="2661">
        <f>I449</f>
        <v>0</v>
      </c>
      <c r="J448" s="2662">
        <f>J449</f>
        <v>0</v>
      </c>
      <c r="K448" s="2631"/>
      <c r="L448" s="2631"/>
      <c r="M448" s="2631"/>
      <c r="N448" s="2663">
        <f>N449</f>
        <v>1987.5</v>
      </c>
      <c r="O448" s="2631"/>
      <c r="P448" s="2631"/>
      <c r="Q448" s="2631"/>
      <c r="R448" s="2631"/>
      <c r="S448" s="2631"/>
      <c r="T448" s="2631"/>
      <c r="U448" s="2660">
        <f>U449</f>
        <v>4806.75</v>
      </c>
    </row>
    <row r="449" spans="1:21" x14ac:dyDescent="0.35">
      <c r="A449" s="1179"/>
      <c r="B449" s="1242" t="s">
        <v>248</v>
      </c>
      <c r="C449" s="1183"/>
      <c r="D449" s="2750" t="s">
        <v>453</v>
      </c>
      <c r="E449" s="2750" t="s">
        <v>452</v>
      </c>
      <c r="F449" s="2750" t="s">
        <v>243</v>
      </c>
      <c r="G449" s="2751"/>
      <c r="H449" s="2660">
        <f>H451</f>
        <v>1875</v>
      </c>
      <c r="I449" s="2661">
        <v>0</v>
      </c>
      <c r="J449" s="2662">
        <v>0</v>
      </c>
      <c r="K449" s="2631"/>
      <c r="L449" s="2631"/>
      <c r="M449" s="2631"/>
      <c r="N449" s="2663">
        <f>N451</f>
        <v>1987.5</v>
      </c>
      <c r="O449" s="2631"/>
      <c r="P449" s="2631"/>
      <c r="Q449" s="2631"/>
      <c r="R449" s="2631"/>
      <c r="S449" s="2631"/>
      <c r="T449" s="2631"/>
      <c r="U449" s="2660">
        <f>U451</f>
        <v>4806.75</v>
      </c>
    </row>
    <row r="450" spans="1:21" ht="21" x14ac:dyDescent="0.35">
      <c r="A450" s="1179"/>
      <c r="B450" s="753" t="s">
        <v>948</v>
      </c>
      <c r="C450" s="1183"/>
      <c r="D450" s="2750" t="s">
        <v>453</v>
      </c>
      <c r="E450" s="2750" t="s">
        <v>452</v>
      </c>
      <c r="F450" s="2750" t="s">
        <v>243</v>
      </c>
      <c r="G450" s="2751" t="s">
        <v>955</v>
      </c>
      <c r="H450" s="2660">
        <f t="shared" ref="H450:U450" si="99">H451</f>
        <v>1875</v>
      </c>
      <c r="I450" s="2661">
        <f t="shared" si="99"/>
        <v>0</v>
      </c>
      <c r="J450" s="2662">
        <f t="shared" si="99"/>
        <v>0</v>
      </c>
      <c r="K450" s="2631">
        <f t="shared" si="99"/>
        <v>0</v>
      </c>
      <c r="L450" s="2631">
        <f t="shared" si="99"/>
        <v>0</v>
      </c>
      <c r="M450" s="2631">
        <f t="shared" si="99"/>
        <v>0</v>
      </c>
      <c r="N450" s="2663">
        <f t="shared" si="99"/>
        <v>1987.5</v>
      </c>
      <c r="O450" s="2631">
        <f t="shared" si="99"/>
        <v>0</v>
      </c>
      <c r="P450" s="2631">
        <f t="shared" si="99"/>
        <v>0</v>
      </c>
      <c r="Q450" s="2631">
        <f t="shared" si="99"/>
        <v>0</v>
      </c>
      <c r="R450" s="2631">
        <f t="shared" si="99"/>
        <v>0</v>
      </c>
      <c r="S450" s="2631">
        <f t="shared" si="99"/>
        <v>0</v>
      </c>
      <c r="T450" s="2631">
        <f t="shared" si="99"/>
        <v>0</v>
      </c>
      <c r="U450" s="2660">
        <f t="shared" si="99"/>
        <v>4806.75</v>
      </c>
    </row>
    <row r="451" spans="1:21" ht="21" customHeight="1" x14ac:dyDescent="0.35">
      <c r="A451" s="1179"/>
      <c r="B451" s="753" t="s">
        <v>454</v>
      </c>
      <c r="C451" s="1180"/>
      <c r="D451" s="2750" t="s">
        <v>453</v>
      </c>
      <c r="E451" s="2750" t="s">
        <v>452</v>
      </c>
      <c r="F451" s="2750" t="s">
        <v>243</v>
      </c>
      <c r="G451" s="2751" t="s">
        <v>1</v>
      </c>
      <c r="H451" s="2660">
        <v>1875</v>
      </c>
      <c r="I451" s="2661"/>
      <c r="J451" s="2662"/>
      <c r="K451" s="2631"/>
      <c r="L451" s="2631"/>
      <c r="M451" s="2631"/>
      <c r="N451" s="2663">
        <v>1987.5</v>
      </c>
      <c r="O451" s="2631"/>
      <c r="P451" s="2631"/>
      <c r="Q451" s="2631"/>
      <c r="R451" s="2631"/>
      <c r="S451" s="2631"/>
      <c r="T451" s="2631"/>
      <c r="U451" s="2660">
        <f>1806.75+3000</f>
        <v>4806.75</v>
      </c>
    </row>
    <row r="452" spans="1:21" ht="21" hidden="1" x14ac:dyDescent="0.35">
      <c r="A452" s="1179"/>
      <c r="B452" s="1182" t="s">
        <v>454</v>
      </c>
      <c r="C452" s="1183"/>
      <c r="D452" s="2750" t="s">
        <v>453</v>
      </c>
      <c r="E452" s="2750" t="s">
        <v>452</v>
      </c>
      <c r="F452" s="2750" t="s">
        <v>500</v>
      </c>
      <c r="G452" s="2751" t="s">
        <v>26</v>
      </c>
      <c r="H452" s="2660"/>
      <c r="I452" s="2661"/>
      <c r="J452" s="2662"/>
      <c r="K452" s="2631"/>
      <c r="L452" s="2631"/>
      <c r="M452" s="2631"/>
      <c r="N452" s="2663"/>
      <c r="O452" s="2631"/>
      <c r="P452" s="2631"/>
      <c r="Q452" s="2631"/>
      <c r="R452" s="2631"/>
      <c r="S452" s="2631"/>
      <c r="T452" s="2631"/>
      <c r="U452" s="2660"/>
    </row>
    <row r="453" spans="1:21" x14ac:dyDescent="0.35">
      <c r="A453" s="1179"/>
      <c r="B453" s="1184" t="s">
        <v>334</v>
      </c>
      <c r="C453" s="1177"/>
      <c r="D453" s="2750" t="s">
        <v>496</v>
      </c>
      <c r="E453" s="2750" t="s">
        <v>459</v>
      </c>
      <c r="F453" s="2750"/>
      <c r="G453" s="2751"/>
      <c r="H453" s="2660">
        <f>H454+H461</f>
        <v>718.50800000000004</v>
      </c>
      <c r="I453" s="2661">
        <f>I454+I461</f>
        <v>585.81999999999994</v>
      </c>
      <c r="J453" s="2668">
        <f>J454+J461</f>
        <v>610.88699999999994</v>
      </c>
      <c r="K453" s="2631"/>
      <c r="L453" s="2631"/>
      <c r="M453" s="2631"/>
      <c r="N453" s="2663">
        <f>N454+N461</f>
        <v>718.50800000000004</v>
      </c>
      <c r="O453" s="2631"/>
      <c r="P453" s="2631"/>
      <c r="Q453" s="2631"/>
      <c r="R453" s="2631"/>
      <c r="S453" s="2631"/>
      <c r="T453" s="2631"/>
      <c r="U453" s="2660">
        <f>U454+U461</f>
        <v>747.24800000000005</v>
      </c>
    </row>
    <row r="454" spans="1:21" x14ac:dyDescent="0.35">
      <c r="A454" s="1179"/>
      <c r="B454" s="1184" t="s">
        <v>79</v>
      </c>
      <c r="C454" s="1177"/>
      <c r="D454" s="2750" t="s">
        <v>496</v>
      </c>
      <c r="E454" s="2750" t="s">
        <v>456</v>
      </c>
      <c r="F454" s="2750"/>
      <c r="G454" s="2751"/>
      <c r="H454" s="2660">
        <f t="shared" ref="H454:J457" si="100">H455</f>
        <v>718.50800000000004</v>
      </c>
      <c r="I454" s="2661">
        <f t="shared" si="100"/>
        <v>0</v>
      </c>
      <c r="J454" s="2668">
        <f t="shared" si="100"/>
        <v>0</v>
      </c>
      <c r="K454" s="2639">
        <v>615.01599999999996</v>
      </c>
      <c r="L454" s="2631"/>
      <c r="M454" s="2631"/>
      <c r="N454" s="2663">
        <f t="shared" ref="N454:N457" si="101">N455</f>
        <v>718.50800000000004</v>
      </c>
      <c r="O454" s="2631"/>
      <c r="P454" s="2631"/>
      <c r="Q454" s="2631"/>
      <c r="R454" s="2631"/>
      <c r="S454" s="2631"/>
      <c r="T454" s="2631"/>
      <c r="U454" s="2660">
        <f t="shared" ref="U454:U457" si="102">U455</f>
        <v>747.24800000000005</v>
      </c>
    </row>
    <row r="455" spans="1:21" ht="31.5" x14ac:dyDescent="0.35">
      <c r="A455" s="1179"/>
      <c r="B455" s="753" t="s">
        <v>499</v>
      </c>
      <c r="C455" s="1177"/>
      <c r="D455" s="2750" t="s">
        <v>496</v>
      </c>
      <c r="E455" s="2750" t="s">
        <v>456</v>
      </c>
      <c r="F455" s="2750" t="s">
        <v>89</v>
      </c>
      <c r="G455" s="2751"/>
      <c r="H455" s="2660">
        <f t="shared" si="100"/>
        <v>718.50800000000004</v>
      </c>
      <c r="I455" s="2661">
        <f t="shared" si="100"/>
        <v>0</v>
      </c>
      <c r="J455" s="2668">
        <f t="shared" si="100"/>
        <v>0</v>
      </c>
      <c r="K455" s="2631"/>
      <c r="L455" s="2631"/>
      <c r="M455" s="2631"/>
      <c r="N455" s="2663">
        <f t="shared" si="101"/>
        <v>718.50800000000004</v>
      </c>
      <c r="O455" s="2631"/>
      <c r="P455" s="2631"/>
      <c r="Q455" s="2631"/>
      <c r="R455" s="2631"/>
      <c r="S455" s="2631"/>
      <c r="T455" s="2631"/>
      <c r="U455" s="2660">
        <f t="shared" si="102"/>
        <v>747.24800000000005</v>
      </c>
    </row>
    <row r="456" spans="1:21" x14ac:dyDescent="0.35">
      <c r="A456" s="1179"/>
      <c r="B456" s="753" t="s">
        <v>109</v>
      </c>
      <c r="C456" s="1180"/>
      <c r="D456" s="2750" t="s">
        <v>496</v>
      </c>
      <c r="E456" s="2750" t="s">
        <v>456</v>
      </c>
      <c r="F456" s="2750" t="s">
        <v>84</v>
      </c>
      <c r="G456" s="2751"/>
      <c r="H456" s="2660">
        <f t="shared" si="100"/>
        <v>718.50800000000004</v>
      </c>
      <c r="I456" s="2661">
        <f t="shared" si="100"/>
        <v>0</v>
      </c>
      <c r="J456" s="2668">
        <f t="shared" si="100"/>
        <v>0</v>
      </c>
      <c r="K456" s="2631"/>
      <c r="L456" s="2631"/>
      <c r="M456" s="2631"/>
      <c r="N456" s="2663">
        <f t="shared" si="101"/>
        <v>718.50800000000004</v>
      </c>
      <c r="O456" s="2631"/>
      <c r="P456" s="2631"/>
      <c r="Q456" s="2631"/>
      <c r="R456" s="2631"/>
      <c r="S456" s="2631"/>
      <c r="T456" s="2631"/>
      <c r="U456" s="2660">
        <f t="shared" si="102"/>
        <v>747.24800000000005</v>
      </c>
    </row>
    <row r="457" spans="1:21" x14ac:dyDescent="0.35">
      <c r="A457" s="1179"/>
      <c r="B457" s="753" t="s">
        <v>109</v>
      </c>
      <c r="C457" s="1180"/>
      <c r="D457" s="2750" t="s">
        <v>496</v>
      </c>
      <c r="E457" s="2750" t="s">
        <v>456</v>
      </c>
      <c r="F457" s="2750" t="s">
        <v>82</v>
      </c>
      <c r="G457" s="2751"/>
      <c r="H457" s="2660">
        <f t="shared" si="100"/>
        <v>718.50800000000004</v>
      </c>
      <c r="I457" s="2661">
        <f t="shared" si="100"/>
        <v>0</v>
      </c>
      <c r="J457" s="2668">
        <f t="shared" si="100"/>
        <v>0</v>
      </c>
      <c r="K457" s="2631"/>
      <c r="L457" s="2631"/>
      <c r="M457" s="2631"/>
      <c r="N457" s="2663">
        <f t="shared" si="101"/>
        <v>718.50800000000004</v>
      </c>
      <c r="O457" s="2631"/>
      <c r="P457" s="2631"/>
      <c r="Q457" s="2631"/>
      <c r="R457" s="2631"/>
      <c r="S457" s="2631"/>
      <c r="T457" s="2631"/>
      <c r="U457" s="2660">
        <f t="shared" si="102"/>
        <v>747.24800000000005</v>
      </c>
    </row>
    <row r="458" spans="1:21" x14ac:dyDescent="0.35">
      <c r="A458" s="1179"/>
      <c r="B458" s="753" t="s">
        <v>81</v>
      </c>
      <c r="C458" s="1180"/>
      <c r="D458" s="2750" t="s">
        <v>496</v>
      </c>
      <c r="E458" s="2750" t="s">
        <v>456</v>
      </c>
      <c r="F458" s="2750" t="s">
        <v>78</v>
      </c>
      <c r="G458" s="2751"/>
      <c r="H458" s="2660">
        <f>H460</f>
        <v>718.50800000000004</v>
      </c>
      <c r="I458" s="2661">
        <f>I460</f>
        <v>0</v>
      </c>
      <c r="J458" s="2668">
        <f>J460</f>
        <v>0</v>
      </c>
      <c r="K458" s="2631"/>
      <c r="L458" s="2631"/>
      <c r="M458" s="2631"/>
      <c r="N458" s="2663">
        <f>N460</f>
        <v>718.50800000000004</v>
      </c>
      <c r="O458" s="2631"/>
      <c r="P458" s="2631"/>
      <c r="Q458" s="2631"/>
      <c r="R458" s="2631"/>
      <c r="S458" s="2631"/>
      <c r="T458" s="2631"/>
      <c r="U458" s="2660">
        <f>U460</f>
        <v>747.24800000000005</v>
      </c>
    </row>
    <row r="459" spans="1:21" x14ac:dyDescent="0.35">
      <c r="A459" s="1179"/>
      <c r="B459" s="753" t="s">
        <v>852</v>
      </c>
      <c r="C459" s="1180"/>
      <c r="D459" s="2750" t="s">
        <v>496</v>
      </c>
      <c r="E459" s="2750" t="s">
        <v>456</v>
      </c>
      <c r="F459" s="2750" t="s">
        <v>78</v>
      </c>
      <c r="G459" s="2751" t="s">
        <v>860</v>
      </c>
      <c r="H459" s="2660">
        <f t="shared" ref="H459:U459" si="103">H460</f>
        <v>718.50800000000004</v>
      </c>
      <c r="I459" s="2661">
        <f t="shared" si="103"/>
        <v>0</v>
      </c>
      <c r="J459" s="2669">
        <f t="shared" si="103"/>
        <v>0</v>
      </c>
      <c r="K459" s="2631">
        <f t="shared" si="103"/>
        <v>0</v>
      </c>
      <c r="L459" s="2631">
        <f t="shared" si="103"/>
        <v>0</v>
      </c>
      <c r="M459" s="2631">
        <f t="shared" si="103"/>
        <v>0</v>
      </c>
      <c r="N459" s="2663">
        <f t="shared" si="103"/>
        <v>718.50800000000004</v>
      </c>
      <c r="O459" s="2631">
        <f t="shared" si="103"/>
        <v>0</v>
      </c>
      <c r="P459" s="2631">
        <f t="shared" si="103"/>
        <v>0</v>
      </c>
      <c r="Q459" s="2631">
        <f t="shared" si="103"/>
        <v>0</v>
      </c>
      <c r="R459" s="2631">
        <f t="shared" si="103"/>
        <v>0</v>
      </c>
      <c r="S459" s="2631">
        <f t="shared" si="103"/>
        <v>0</v>
      </c>
      <c r="T459" s="2631">
        <f t="shared" si="103"/>
        <v>0</v>
      </c>
      <c r="U459" s="2660">
        <f t="shared" si="103"/>
        <v>747.24800000000005</v>
      </c>
    </row>
    <row r="460" spans="1:21" ht="21" x14ac:dyDescent="0.35">
      <c r="A460" s="1179"/>
      <c r="B460" s="1236" t="s">
        <v>497</v>
      </c>
      <c r="C460" s="1183"/>
      <c r="D460" s="2750" t="s">
        <v>496</v>
      </c>
      <c r="E460" s="2750" t="s">
        <v>456</v>
      </c>
      <c r="F460" s="2750" t="s">
        <v>78</v>
      </c>
      <c r="G460" s="2751" t="s">
        <v>77</v>
      </c>
      <c r="H460" s="2660">
        <v>718.50800000000004</v>
      </c>
      <c r="I460" s="2661"/>
      <c r="J460" s="2662"/>
      <c r="K460" s="2631"/>
      <c r="L460" s="2631"/>
      <c r="M460" s="2631"/>
      <c r="N460" s="2663">
        <v>718.50800000000004</v>
      </c>
      <c r="O460" s="2631"/>
      <c r="P460" s="2631"/>
      <c r="Q460" s="2631"/>
      <c r="R460" s="2631"/>
      <c r="S460" s="2631"/>
      <c r="T460" s="2631"/>
      <c r="U460" s="2660">
        <v>747.24800000000005</v>
      </c>
    </row>
    <row r="461" spans="1:21" hidden="1" x14ac:dyDescent="0.35">
      <c r="A461" s="1179"/>
      <c r="B461" s="1184" t="s">
        <v>45</v>
      </c>
      <c r="C461" s="1177"/>
      <c r="D461" s="2750" t="s">
        <v>496</v>
      </c>
      <c r="E461" s="2750" t="s">
        <v>495</v>
      </c>
      <c r="F461" s="2750"/>
      <c r="G461" s="2751"/>
      <c r="H461" s="2660">
        <f t="shared" ref="H461:J464" si="104">H462</f>
        <v>0</v>
      </c>
      <c r="I461" s="2661">
        <f t="shared" si="104"/>
        <v>585.81999999999994</v>
      </c>
      <c r="J461" s="2668">
        <f t="shared" si="104"/>
        <v>610.88699999999994</v>
      </c>
      <c r="K461" s="2631"/>
      <c r="L461" s="2631"/>
      <c r="M461" s="2631"/>
      <c r="N461" s="2663">
        <f t="shared" ref="N461:N464" si="105">N462</f>
        <v>0</v>
      </c>
      <c r="O461" s="2631"/>
      <c r="P461" s="2631"/>
      <c r="Q461" s="2631"/>
      <c r="R461" s="2631"/>
      <c r="S461" s="2631"/>
      <c r="T461" s="2631"/>
      <c r="U461" s="2660">
        <f t="shared" ref="U461:U464" si="106">U462</f>
        <v>0</v>
      </c>
    </row>
    <row r="462" spans="1:21" ht="31.5" hidden="1" x14ac:dyDescent="0.35">
      <c r="A462" s="1179"/>
      <c r="B462" s="1203" t="s">
        <v>861</v>
      </c>
      <c r="C462" s="1177"/>
      <c r="D462" s="2750" t="s">
        <v>496</v>
      </c>
      <c r="E462" s="2750" t="s">
        <v>495</v>
      </c>
      <c r="F462" s="2750" t="s">
        <v>468</v>
      </c>
      <c r="G462" s="2751"/>
      <c r="H462" s="2660">
        <f>H463+H467</f>
        <v>0</v>
      </c>
      <c r="I462" s="2661">
        <f t="shared" si="104"/>
        <v>585.81999999999994</v>
      </c>
      <c r="J462" s="2668">
        <f t="shared" si="104"/>
        <v>610.88699999999994</v>
      </c>
      <c r="K462" s="2631"/>
      <c r="L462" s="2631"/>
      <c r="M462" s="2631"/>
      <c r="N462" s="2663">
        <f>N463+N467</f>
        <v>0</v>
      </c>
      <c r="O462" s="2631"/>
      <c r="P462" s="2631"/>
      <c r="Q462" s="2631"/>
      <c r="R462" s="2631"/>
      <c r="S462" s="2631"/>
      <c r="T462" s="2631"/>
      <c r="U462" s="2660">
        <f>U463+U467</f>
        <v>0</v>
      </c>
    </row>
    <row r="463" spans="1:21" hidden="1" x14ac:dyDescent="0.35">
      <c r="A463" s="1179"/>
      <c r="B463" s="1203" t="s">
        <v>849</v>
      </c>
      <c r="C463" s="1180"/>
      <c r="D463" s="2750" t="s">
        <v>496</v>
      </c>
      <c r="E463" s="2750" t="s">
        <v>495</v>
      </c>
      <c r="F463" s="2750" t="s">
        <v>854</v>
      </c>
      <c r="G463" s="2751"/>
      <c r="H463" s="2660">
        <f t="shared" si="104"/>
        <v>0</v>
      </c>
      <c r="I463" s="2661">
        <f t="shared" si="104"/>
        <v>585.81999999999994</v>
      </c>
      <c r="J463" s="2668">
        <f t="shared" si="104"/>
        <v>610.88699999999994</v>
      </c>
      <c r="K463" s="2631"/>
      <c r="L463" s="2631"/>
      <c r="M463" s="2631"/>
      <c r="N463" s="2663">
        <f t="shared" si="105"/>
        <v>0</v>
      </c>
      <c r="O463" s="2631"/>
      <c r="P463" s="2631"/>
      <c r="Q463" s="2631"/>
      <c r="R463" s="2631"/>
      <c r="S463" s="2631"/>
      <c r="T463" s="2631"/>
      <c r="U463" s="2660">
        <f t="shared" si="106"/>
        <v>0</v>
      </c>
    </row>
    <row r="464" spans="1:21" ht="21" hidden="1" x14ac:dyDescent="0.35">
      <c r="A464" s="1179"/>
      <c r="B464" s="1203" t="s">
        <v>850</v>
      </c>
      <c r="C464" s="1180"/>
      <c r="D464" s="2750" t="s">
        <v>496</v>
      </c>
      <c r="E464" s="2750" t="s">
        <v>495</v>
      </c>
      <c r="F464" s="2750" t="s">
        <v>855</v>
      </c>
      <c r="G464" s="2751"/>
      <c r="H464" s="2660">
        <f t="shared" si="104"/>
        <v>0</v>
      </c>
      <c r="I464" s="2661">
        <f t="shared" si="104"/>
        <v>585.81999999999994</v>
      </c>
      <c r="J464" s="2668">
        <f t="shared" si="104"/>
        <v>610.88699999999994</v>
      </c>
      <c r="K464" s="2631"/>
      <c r="L464" s="2631"/>
      <c r="M464" s="2631"/>
      <c r="N464" s="2663">
        <f t="shared" si="105"/>
        <v>0</v>
      </c>
      <c r="O464" s="2631"/>
      <c r="P464" s="2631"/>
      <c r="Q464" s="2631"/>
      <c r="R464" s="2631"/>
      <c r="S464" s="2631"/>
      <c r="T464" s="2631"/>
      <c r="U464" s="2660">
        <f t="shared" si="106"/>
        <v>0</v>
      </c>
    </row>
    <row r="465" spans="1:21" ht="35.25" hidden="1" customHeight="1" x14ac:dyDescent="0.35">
      <c r="A465" s="1179"/>
      <c r="B465" s="1232" t="s">
        <v>851</v>
      </c>
      <c r="C465" s="1180"/>
      <c r="D465" s="2750" t="s">
        <v>496</v>
      </c>
      <c r="E465" s="2750" t="s">
        <v>495</v>
      </c>
      <c r="F465" s="2763" t="s">
        <v>856</v>
      </c>
      <c r="G465" s="2751"/>
      <c r="H465" s="2660">
        <f>H466</f>
        <v>0</v>
      </c>
      <c r="I465" s="2661">
        <f>I466+I470+I471</f>
        <v>585.81999999999994</v>
      </c>
      <c r="J465" s="2668">
        <f>J466+J470+J471</f>
        <v>610.88699999999994</v>
      </c>
      <c r="K465" s="2631"/>
      <c r="L465" s="2631"/>
      <c r="M465" s="2631"/>
      <c r="N465" s="2663">
        <f>N466</f>
        <v>0</v>
      </c>
      <c r="O465" s="2631"/>
      <c r="P465" s="2631"/>
      <c r="Q465" s="2631"/>
      <c r="R465" s="2631"/>
      <c r="S465" s="2631"/>
      <c r="T465" s="2631"/>
      <c r="U465" s="2660">
        <f>U466</f>
        <v>0</v>
      </c>
    </row>
    <row r="466" spans="1:21" ht="21" hidden="1" x14ac:dyDescent="0.35">
      <c r="A466" s="1179"/>
      <c r="B466" s="1236" t="s">
        <v>497</v>
      </c>
      <c r="C466" s="1183"/>
      <c r="D466" s="2750" t="s">
        <v>496</v>
      </c>
      <c r="E466" s="2750" t="s">
        <v>495</v>
      </c>
      <c r="F466" s="2763" t="s">
        <v>856</v>
      </c>
      <c r="G466" s="2751" t="s">
        <v>77</v>
      </c>
      <c r="H466" s="2676"/>
      <c r="I466" s="2661">
        <v>31.3</v>
      </c>
      <c r="J466" s="2662">
        <v>34.43</v>
      </c>
      <c r="K466" s="2631"/>
      <c r="L466" s="2631"/>
      <c r="M466" s="2631"/>
      <c r="N466" s="2677">
        <v>0</v>
      </c>
      <c r="O466" s="2631"/>
      <c r="P466" s="2631"/>
      <c r="Q466" s="2631"/>
      <c r="R466" s="2631"/>
      <c r="S466" s="2631"/>
      <c r="T466" s="2631"/>
      <c r="U466" s="2676">
        <v>0</v>
      </c>
    </row>
    <row r="467" spans="1:21" ht="31.5" hidden="1" x14ac:dyDescent="0.35">
      <c r="A467" s="1179"/>
      <c r="B467" s="1203" t="s">
        <v>853</v>
      </c>
      <c r="C467" s="1183"/>
      <c r="D467" s="2750" t="s">
        <v>496</v>
      </c>
      <c r="E467" s="2750" t="s">
        <v>495</v>
      </c>
      <c r="F467" s="2763" t="s">
        <v>857</v>
      </c>
      <c r="G467" s="2751"/>
      <c r="H467" s="2676">
        <f>H468</f>
        <v>0</v>
      </c>
      <c r="I467" s="2661"/>
      <c r="J467" s="2662"/>
      <c r="K467" s="2631"/>
      <c r="L467" s="2631"/>
      <c r="M467" s="2631"/>
      <c r="N467" s="2677">
        <f>N468</f>
        <v>0</v>
      </c>
      <c r="O467" s="2631"/>
      <c r="P467" s="2631"/>
      <c r="Q467" s="2631"/>
      <c r="R467" s="2631"/>
      <c r="S467" s="2631"/>
      <c r="T467" s="2631"/>
      <c r="U467" s="2676">
        <f>U468</f>
        <v>0</v>
      </c>
    </row>
    <row r="468" spans="1:21" ht="21" hidden="1" x14ac:dyDescent="0.35">
      <c r="A468" s="1179"/>
      <c r="B468" s="1203" t="s">
        <v>850</v>
      </c>
      <c r="C468" s="1183"/>
      <c r="D468" s="2750" t="s">
        <v>496</v>
      </c>
      <c r="E468" s="2750" t="s">
        <v>495</v>
      </c>
      <c r="F468" s="2750" t="s">
        <v>858</v>
      </c>
      <c r="G468" s="2751"/>
      <c r="H468" s="2676">
        <f>H469</f>
        <v>0</v>
      </c>
      <c r="I468" s="2661"/>
      <c r="J468" s="2662"/>
      <c r="K468" s="2631"/>
      <c r="L468" s="2631"/>
      <c r="M468" s="2631"/>
      <c r="N468" s="2677">
        <f>N469</f>
        <v>0</v>
      </c>
      <c r="O468" s="2631"/>
      <c r="P468" s="2631"/>
      <c r="Q468" s="2631"/>
      <c r="R468" s="2631"/>
      <c r="S468" s="2631"/>
      <c r="T468" s="2631"/>
      <c r="U468" s="2676">
        <f>U469</f>
        <v>0</v>
      </c>
    </row>
    <row r="469" spans="1:21" ht="31.5" hidden="1" x14ac:dyDescent="0.35">
      <c r="A469" s="1179"/>
      <c r="B469" s="1203" t="s">
        <v>851</v>
      </c>
      <c r="C469" s="1183"/>
      <c r="D469" s="2750" t="s">
        <v>496</v>
      </c>
      <c r="E469" s="2750" t="s">
        <v>495</v>
      </c>
      <c r="F469" s="2763" t="s">
        <v>859</v>
      </c>
      <c r="G469" s="2751"/>
      <c r="H469" s="2676">
        <f>H470</f>
        <v>0</v>
      </c>
      <c r="I469" s="2661"/>
      <c r="J469" s="2662"/>
      <c r="K469" s="2631"/>
      <c r="L469" s="2631"/>
      <c r="M469" s="2631"/>
      <c r="N469" s="2677">
        <f>N470</f>
        <v>0</v>
      </c>
      <c r="O469" s="2631"/>
      <c r="P469" s="2631"/>
      <c r="Q469" s="2631"/>
      <c r="R469" s="2631"/>
      <c r="S469" s="2631"/>
      <c r="T469" s="2631"/>
      <c r="U469" s="2676">
        <f>U470</f>
        <v>0</v>
      </c>
    </row>
    <row r="470" spans="1:21" ht="21" hidden="1" x14ac:dyDescent="0.35">
      <c r="A470" s="1179"/>
      <c r="B470" s="1236" t="s">
        <v>497</v>
      </c>
      <c r="C470" s="1183"/>
      <c r="D470" s="2750" t="s">
        <v>496</v>
      </c>
      <c r="E470" s="2750" t="s">
        <v>495</v>
      </c>
      <c r="F470" s="2763" t="s">
        <v>859</v>
      </c>
      <c r="G470" s="2751" t="s">
        <v>77</v>
      </c>
      <c r="H470" s="2676"/>
      <c r="I470" s="2661">
        <v>554.52</v>
      </c>
      <c r="J470" s="2662">
        <v>576.45699999999999</v>
      </c>
      <c r="K470" s="2631"/>
      <c r="L470" s="2631"/>
      <c r="M470" s="2631"/>
      <c r="N470" s="2677">
        <v>0</v>
      </c>
      <c r="O470" s="2631"/>
      <c r="P470" s="2631"/>
      <c r="Q470" s="2631"/>
      <c r="R470" s="2631"/>
      <c r="S470" s="2631"/>
      <c r="T470" s="2631"/>
      <c r="U470" s="2676">
        <v>0</v>
      </c>
    </row>
    <row r="471" spans="1:21" ht="21" hidden="1" x14ac:dyDescent="0.35">
      <c r="A471" s="1179"/>
      <c r="B471" s="1182" t="s">
        <v>497</v>
      </c>
      <c r="C471" s="1183"/>
      <c r="D471" s="2750" t="s">
        <v>496</v>
      </c>
      <c r="E471" s="2750" t="s">
        <v>495</v>
      </c>
      <c r="F471" s="2750" t="s">
        <v>43</v>
      </c>
      <c r="G471" s="2751" t="s">
        <v>77</v>
      </c>
      <c r="H471" s="2660"/>
      <c r="I471" s="2661"/>
      <c r="J471" s="2662"/>
      <c r="K471" s="2631"/>
      <c r="L471" s="2631"/>
      <c r="M471" s="2631"/>
      <c r="N471" s="2663"/>
      <c r="O471" s="2631"/>
      <c r="P471" s="2631"/>
      <c r="Q471" s="2631"/>
      <c r="R471" s="2631"/>
      <c r="S471" s="2631"/>
      <c r="T471" s="2631"/>
      <c r="U471" s="2660"/>
    </row>
    <row r="472" spans="1:21" x14ac:dyDescent="0.35">
      <c r="A472" s="1179"/>
      <c r="B472" s="1184" t="s">
        <v>331</v>
      </c>
      <c r="C472" s="1177"/>
      <c r="D472" s="2750" t="s">
        <v>464</v>
      </c>
      <c r="E472" s="2750" t="s">
        <v>459</v>
      </c>
      <c r="F472" s="2750"/>
      <c r="G472" s="2751"/>
      <c r="H472" s="2660">
        <f>H473+H481</f>
        <v>250</v>
      </c>
      <c r="I472" s="2661">
        <f>I473+I481</f>
        <v>0</v>
      </c>
      <c r="J472" s="2668">
        <f>J473+J481</f>
        <v>0</v>
      </c>
      <c r="K472" s="2639">
        <v>600</v>
      </c>
      <c r="L472" s="2631"/>
      <c r="M472" s="2631"/>
      <c r="N472" s="2663">
        <f>N473+N481</f>
        <v>750</v>
      </c>
      <c r="O472" s="2631"/>
      <c r="P472" s="2631"/>
      <c r="Q472" s="2631"/>
      <c r="R472" s="2631"/>
      <c r="S472" s="2631"/>
      <c r="T472" s="2631"/>
      <c r="U472" s="2660">
        <f>U473+U481</f>
        <v>750</v>
      </c>
    </row>
    <row r="473" spans="1:21" hidden="1" x14ac:dyDescent="0.35">
      <c r="A473" s="1179"/>
      <c r="B473" s="1184" t="s">
        <v>494</v>
      </c>
      <c r="C473" s="1177"/>
      <c r="D473" s="2750" t="s">
        <v>464</v>
      </c>
      <c r="E473" s="2750" t="s">
        <v>488</v>
      </c>
      <c r="F473" s="2750" t="s">
        <v>106</v>
      </c>
      <c r="G473" s="2751" t="s">
        <v>106</v>
      </c>
      <c r="H473" s="2660">
        <f t="shared" ref="H473:J476" si="107">H474</f>
        <v>0</v>
      </c>
      <c r="I473" s="2661">
        <f t="shared" si="107"/>
        <v>0</v>
      </c>
      <c r="J473" s="2668">
        <f t="shared" si="107"/>
        <v>0</v>
      </c>
      <c r="K473" s="2631"/>
      <c r="L473" s="2631"/>
      <c r="M473" s="2631"/>
      <c r="N473" s="2663">
        <f t="shared" ref="N473:N476" si="108">N474</f>
        <v>0</v>
      </c>
      <c r="O473" s="2631"/>
      <c r="P473" s="2631"/>
      <c r="Q473" s="2631"/>
      <c r="R473" s="2631"/>
      <c r="S473" s="2631"/>
      <c r="T473" s="2631"/>
      <c r="U473" s="2660">
        <f t="shared" ref="U473:U476" si="109">U474</f>
        <v>0</v>
      </c>
    </row>
    <row r="474" spans="1:21" ht="34.5" hidden="1" x14ac:dyDescent="0.35">
      <c r="A474" s="1179"/>
      <c r="B474" s="1184" t="s">
        <v>493</v>
      </c>
      <c r="C474" s="1177"/>
      <c r="D474" s="2750" t="s">
        <v>464</v>
      </c>
      <c r="E474" s="2750" t="s">
        <v>488</v>
      </c>
      <c r="F474" s="2750" t="s">
        <v>311</v>
      </c>
      <c r="G474" s="2751"/>
      <c r="H474" s="2660">
        <f t="shared" si="107"/>
        <v>0</v>
      </c>
      <c r="I474" s="2661">
        <f t="shared" si="107"/>
        <v>0</v>
      </c>
      <c r="J474" s="2668">
        <f t="shared" si="107"/>
        <v>0</v>
      </c>
      <c r="K474" s="2631"/>
      <c r="L474" s="2631"/>
      <c r="M474" s="2631"/>
      <c r="N474" s="2663">
        <f t="shared" si="108"/>
        <v>0</v>
      </c>
      <c r="O474" s="2631"/>
      <c r="P474" s="2631"/>
      <c r="Q474" s="2631"/>
      <c r="R474" s="2631"/>
      <c r="S474" s="2631"/>
      <c r="T474" s="2631"/>
      <c r="U474" s="2660">
        <f t="shared" si="109"/>
        <v>0</v>
      </c>
    </row>
    <row r="475" spans="1:21" ht="34.5" hidden="1" x14ac:dyDescent="0.35">
      <c r="A475" s="1233"/>
      <c r="B475" s="1253" t="s">
        <v>492</v>
      </c>
      <c r="C475" s="1180"/>
      <c r="D475" s="2750" t="s">
        <v>464</v>
      </c>
      <c r="E475" s="2750" t="s">
        <v>488</v>
      </c>
      <c r="F475" s="2750" t="s">
        <v>491</v>
      </c>
      <c r="G475" s="2751"/>
      <c r="H475" s="2660">
        <f t="shared" si="107"/>
        <v>0</v>
      </c>
      <c r="I475" s="2661">
        <f t="shared" si="107"/>
        <v>0</v>
      </c>
      <c r="J475" s="2668">
        <f t="shared" si="107"/>
        <v>0</v>
      </c>
      <c r="K475" s="2631"/>
      <c r="L475" s="2631"/>
      <c r="M475" s="2631"/>
      <c r="N475" s="2663">
        <f t="shared" si="108"/>
        <v>0</v>
      </c>
      <c r="O475" s="2631"/>
      <c r="P475" s="2631"/>
      <c r="Q475" s="2631"/>
      <c r="R475" s="2631"/>
      <c r="S475" s="2631"/>
      <c r="T475" s="2631"/>
      <c r="U475" s="2660">
        <f t="shared" si="109"/>
        <v>0</v>
      </c>
    </row>
    <row r="476" spans="1:21" hidden="1" x14ac:dyDescent="0.35">
      <c r="A476" s="1233"/>
      <c r="B476" s="1253" t="s">
        <v>490</v>
      </c>
      <c r="C476" s="1180"/>
      <c r="D476" s="2750" t="s">
        <v>464</v>
      </c>
      <c r="E476" s="2750" t="s">
        <v>488</v>
      </c>
      <c r="F476" s="2750" t="s">
        <v>489</v>
      </c>
      <c r="G476" s="2751"/>
      <c r="H476" s="2660">
        <f t="shared" si="107"/>
        <v>0</v>
      </c>
      <c r="I476" s="2661">
        <f t="shared" si="107"/>
        <v>0</v>
      </c>
      <c r="J476" s="2668">
        <f t="shared" si="107"/>
        <v>0</v>
      </c>
      <c r="K476" s="2631"/>
      <c r="L476" s="2631"/>
      <c r="M476" s="2631"/>
      <c r="N476" s="2663">
        <f t="shared" si="108"/>
        <v>0</v>
      </c>
      <c r="O476" s="2631"/>
      <c r="P476" s="2631"/>
      <c r="Q476" s="2631"/>
      <c r="R476" s="2631"/>
      <c r="S476" s="2631"/>
      <c r="T476" s="2631"/>
      <c r="U476" s="2660">
        <f t="shared" si="109"/>
        <v>0</v>
      </c>
    </row>
    <row r="477" spans="1:21" ht="23" hidden="1" x14ac:dyDescent="0.35">
      <c r="A477" s="1233"/>
      <c r="B477" s="1253" t="s">
        <v>351</v>
      </c>
      <c r="C477" s="1180"/>
      <c r="D477" s="2750" t="s">
        <v>464</v>
      </c>
      <c r="E477" s="2750" t="s">
        <v>488</v>
      </c>
      <c r="F477" s="2750" t="s">
        <v>487</v>
      </c>
      <c r="G477" s="2751"/>
      <c r="H477" s="2660">
        <f>H478+H479+H480</f>
        <v>0</v>
      </c>
      <c r="I477" s="2661">
        <f>I478+I479+I480</f>
        <v>0</v>
      </c>
      <c r="J477" s="2668">
        <f>J478+J479+J480</f>
        <v>0</v>
      </c>
      <c r="K477" s="2631"/>
      <c r="L477" s="2631"/>
      <c r="M477" s="2631"/>
      <c r="N477" s="2663">
        <f>N478+N479+N480</f>
        <v>0</v>
      </c>
      <c r="O477" s="2631"/>
      <c r="P477" s="2631"/>
      <c r="Q477" s="2631"/>
      <c r="R477" s="2631"/>
      <c r="S477" s="2631"/>
      <c r="T477" s="2631"/>
      <c r="U477" s="2660">
        <f>U478+U479+U480</f>
        <v>0</v>
      </c>
    </row>
    <row r="478" spans="1:21" hidden="1" x14ac:dyDescent="0.35">
      <c r="A478" s="1179"/>
      <c r="B478" s="1254" t="s">
        <v>458</v>
      </c>
      <c r="C478" s="1183"/>
      <c r="D478" s="2750" t="s">
        <v>464</v>
      </c>
      <c r="E478" s="2750" t="s">
        <v>488</v>
      </c>
      <c r="F478" s="2750" t="s">
        <v>487</v>
      </c>
      <c r="G478" s="2751" t="s">
        <v>255</v>
      </c>
      <c r="H478" s="2660"/>
      <c r="I478" s="2661"/>
      <c r="J478" s="2668"/>
      <c r="K478" s="2631"/>
      <c r="L478" s="2631"/>
      <c r="M478" s="2631"/>
      <c r="N478" s="2663"/>
      <c r="O478" s="2631"/>
      <c r="P478" s="2631"/>
      <c r="Q478" s="2631"/>
      <c r="R478" s="2631"/>
      <c r="S478" s="2631"/>
      <c r="T478" s="2631"/>
      <c r="U478" s="2660"/>
    </row>
    <row r="479" spans="1:21" ht="23" hidden="1" x14ac:dyDescent="0.35">
      <c r="A479" s="1179"/>
      <c r="B479" s="1254" t="s">
        <v>454</v>
      </c>
      <c r="C479" s="1183"/>
      <c r="D479" s="2750" t="s">
        <v>464</v>
      </c>
      <c r="E479" s="2750" t="s">
        <v>488</v>
      </c>
      <c r="F479" s="2750" t="s">
        <v>487</v>
      </c>
      <c r="G479" s="2751" t="s">
        <v>1</v>
      </c>
      <c r="H479" s="2660"/>
      <c r="I479" s="2661"/>
      <c r="J479" s="2668"/>
      <c r="K479" s="2631"/>
      <c r="L479" s="2631"/>
      <c r="M479" s="2631"/>
      <c r="N479" s="2663"/>
      <c r="O479" s="2631"/>
      <c r="P479" s="2631"/>
      <c r="Q479" s="2631"/>
      <c r="R479" s="2631"/>
      <c r="S479" s="2631"/>
      <c r="T479" s="2631"/>
      <c r="U479" s="2660"/>
    </row>
    <row r="480" spans="1:21" hidden="1" x14ac:dyDescent="0.35">
      <c r="A480" s="1179"/>
      <c r="B480" s="1254" t="s">
        <v>457</v>
      </c>
      <c r="C480" s="1183"/>
      <c r="D480" s="2750" t="s">
        <v>464</v>
      </c>
      <c r="E480" s="2750" t="s">
        <v>488</v>
      </c>
      <c r="F480" s="2750" t="s">
        <v>487</v>
      </c>
      <c r="G480" s="2751" t="s">
        <v>91</v>
      </c>
      <c r="H480" s="2660"/>
      <c r="I480" s="2661"/>
      <c r="J480" s="2668"/>
      <c r="K480" s="2631"/>
      <c r="L480" s="2631"/>
      <c r="M480" s="2631"/>
      <c r="N480" s="2663"/>
      <c r="O480" s="2631"/>
      <c r="P480" s="2631"/>
      <c r="Q480" s="2631"/>
      <c r="R480" s="2631"/>
      <c r="S480" s="2631"/>
      <c r="T480" s="2631"/>
      <c r="U480" s="2660"/>
    </row>
    <row r="481" spans="1:21" x14ac:dyDescent="0.35">
      <c r="A481" s="1179"/>
      <c r="B481" s="1184" t="s">
        <v>64</v>
      </c>
      <c r="C481" s="1177"/>
      <c r="D481" s="2750" t="s">
        <v>464</v>
      </c>
      <c r="E481" s="2750" t="s">
        <v>463</v>
      </c>
      <c r="F481" s="2750" t="s">
        <v>106</v>
      </c>
      <c r="G481" s="2751" t="s">
        <v>106</v>
      </c>
      <c r="H481" s="2660">
        <f>H482+H509</f>
        <v>250</v>
      </c>
      <c r="I481" s="2661">
        <f>I482+I509</f>
        <v>0</v>
      </c>
      <c r="J481" s="2668">
        <f>J482+J509</f>
        <v>0</v>
      </c>
      <c r="K481" s="2631"/>
      <c r="L481" s="2631"/>
      <c r="M481" s="2631"/>
      <c r="N481" s="2663">
        <f>N482+N509</f>
        <v>750</v>
      </c>
      <c r="O481" s="2631"/>
      <c r="P481" s="2631"/>
      <c r="Q481" s="2631"/>
      <c r="R481" s="2631"/>
      <c r="S481" s="2631"/>
      <c r="T481" s="2631"/>
      <c r="U481" s="2660">
        <f>U482+U509</f>
        <v>750</v>
      </c>
    </row>
    <row r="482" spans="1:21" ht="30" customHeight="1" x14ac:dyDescent="0.35">
      <c r="A482" s="1179"/>
      <c r="B482" s="1205" t="s">
        <v>906</v>
      </c>
      <c r="C482" s="1177"/>
      <c r="D482" s="2750" t="s">
        <v>464</v>
      </c>
      <c r="E482" s="2750" t="s">
        <v>463</v>
      </c>
      <c r="F482" s="2750" t="s">
        <v>311</v>
      </c>
      <c r="G482" s="2751"/>
      <c r="H482" s="2660">
        <f>H483+H492</f>
        <v>250</v>
      </c>
      <c r="I482" s="2661">
        <f>I483+I492</f>
        <v>0</v>
      </c>
      <c r="J482" s="2668">
        <f>J483+J492</f>
        <v>0</v>
      </c>
      <c r="K482" s="2631"/>
      <c r="L482" s="2631"/>
      <c r="M482" s="2631"/>
      <c r="N482" s="2663">
        <f>N483+N492</f>
        <v>750</v>
      </c>
      <c r="O482" s="2631"/>
      <c r="P482" s="2631"/>
      <c r="Q482" s="2631"/>
      <c r="R482" s="2631"/>
      <c r="S482" s="2631"/>
      <c r="T482" s="2631"/>
      <c r="U482" s="2660">
        <f>U483+U492</f>
        <v>750</v>
      </c>
    </row>
    <row r="483" spans="1:21" ht="31.5" hidden="1" x14ac:dyDescent="0.35">
      <c r="A483" s="1179"/>
      <c r="B483" s="753" t="s">
        <v>486</v>
      </c>
      <c r="C483" s="1180"/>
      <c r="D483" s="2750" t="s">
        <v>464</v>
      </c>
      <c r="E483" s="2750" t="s">
        <v>463</v>
      </c>
      <c r="F483" s="2750" t="s">
        <v>485</v>
      </c>
      <c r="G483" s="2751"/>
      <c r="H483" s="2660">
        <f>H484+H487</f>
        <v>0</v>
      </c>
      <c r="I483" s="2661">
        <f>I484+I487</f>
        <v>0</v>
      </c>
      <c r="J483" s="2668">
        <f>J484+J487</f>
        <v>0</v>
      </c>
      <c r="K483" s="2631"/>
      <c r="L483" s="2631"/>
      <c r="M483" s="2631"/>
      <c r="N483" s="2663">
        <f>N484+N487</f>
        <v>0</v>
      </c>
      <c r="O483" s="2631"/>
      <c r="P483" s="2631"/>
      <c r="Q483" s="2631"/>
      <c r="R483" s="2631"/>
      <c r="S483" s="2631"/>
      <c r="T483" s="2631"/>
      <c r="U483" s="2660">
        <f>U484+U487</f>
        <v>0</v>
      </c>
    </row>
    <row r="484" spans="1:21" ht="21" hidden="1" x14ac:dyDescent="0.35">
      <c r="A484" s="1179"/>
      <c r="B484" s="753" t="s">
        <v>484</v>
      </c>
      <c r="C484" s="1180"/>
      <c r="D484" s="2750" t="s">
        <v>464</v>
      </c>
      <c r="E484" s="2750" t="s">
        <v>463</v>
      </c>
      <c r="F484" s="2750" t="s">
        <v>483</v>
      </c>
      <c r="G484" s="2751"/>
      <c r="H484" s="2660">
        <f t="shared" ref="H484:J485" si="110">H485</f>
        <v>0</v>
      </c>
      <c r="I484" s="2661">
        <f t="shared" si="110"/>
        <v>0</v>
      </c>
      <c r="J484" s="2668">
        <f t="shared" si="110"/>
        <v>0</v>
      </c>
      <c r="K484" s="2631"/>
      <c r="L484" s="2631"/>
      <c r="M484" s="2631"/>
      <c r="N484" s="2663">
        <f t="shared" ref="N484:N485" si="111">N485</f>
        <v>0</v>
      </c>
      <c r="O484" s="2631"/>
      <c r="P484" s="2631"/>
      <c r="Q484" s="2631"/>
      <c r="R484" s="2631"/>
      <c r="S484" s="2631"/>
      <c r="T484" s="2631"/>
      <c r="U484" s="2660">
        <f t="shared" ref="U484:U485" si="112">U485</f>
        <v>0</v>
      </c>
    </row>
    <row r="485" spans="1:21" ht="21" hidden="1" x14ac:dyDescent="0.35">
      <c r="A485" s="1179"/>
      <c r="B485" s="753" t="s">
        <v>482</v>
      </c>
      <c r="C485" s="1180"/>
      <c r="D485" s="2750" t="s">
        <v>464</v>
      </c>
      <c r="E485" s="2750" t="s">
        <v>463</v>
      </c>
      <c r="F485" s="2750" t="s">
        <v>480</v>
      </c>
      <c r="G485" s="2751"/>
      <c r="H485" s="2660">
        <f t="shared" si="110"/>
        <v>0</v>
      </c>
      <c r="I485" s="2661">
        <f t="shared" si="110"/>
        <v>0</v>
      </c>
      <c r="J485" s="2668">
        <f t="shared" si="110"/>
        <v>0</v>
      </c>
      <c r="K485" s="2631"/>
      <c r="L485" s="2631"/>
      <c r="M485" s="2631"/>
      <c r="N485" s="2663">
        <f t="shared" si="111"/>
        <v>0</v>
      </c>
      <c r="O485" s="2631"/>
      <c r="P485" s="2631"/>
      <c r="Q485" s="2631"/>
      <c r="R485" s="2631"/>
      <c r="S485" s="2631"/>
      <c r="T485" s="2631"/>
      <c r="U485" s="2660">
        <f t="shared" si="112"/>
        <v>0</v>
      </c>
    </row>
    <row r="486" spans="1:21" hidden="1" x14ac:dyDescent="0.35">
      <c r="A486" s="1179"/>
      <c r="B486" s="1182" t="s">
        <v>481</v>
      </c>
      <c r="C486" s="1183"/>
      <c r="D486" s="2750" t="s">
        <v>464</v>
      </c>
      <c r="E486" s="2750" t="s">
        <v>463</v>
      </c>
      <c r="F486" s="2750" t="s">
        <v>480</v>
      </c>
      <c r="G486" s="2751" t="s">
        <v>26</v>
      </c>
      <c r="H486" s="2660">
        <v>0</v>
      </c>
      <c r="I486" s="2661">
        <v>0</v>
      </c>
      <c r="J486" s="2668">
        <v>0</v>
      </c>
      <c r="K486" s="2631"/>
      <c r="L486" s="2631"/>
      <c r="M486" s="2631"/>
      <c r="N486" s="2663">
        <v>0</v>
      </c>
      <c r="O486" s="2631"/>
      <c r="P486" s="2631"/>
      <c r="Q486" s="2631"/>
      <c r="R486" s="2631"/>
      <c r="S486" s="2631"/>
      <c r="T486" s="2631"/>
      <c r="U486" s="2660">
        <v>0</v>
      </c>
    </row>
    <row r="487" spans="1:21" ht="21" hidden="1" x14ac:dyDescent="0.35">
      <c r="A487" s="1179"/>
      <c r="B487" s="753" t="s">
        <v>479</v>
      </c>
      <c r="C487" s="1180"/>
      <c r="D487" s="2750" t="s">
        <v>464</v>
      </c>
      <c r="E487" s="2750" t="s">
        <v>463</v>
      </c>
      <c r="F487" s="2750" t="s">
        <v>478</v>
      </c>
      <c r="G487" s="2751"/>
      <c r="H487" s="2660">
        <f>H488+H490</f>
        <v>0</v>
      </c>
      <c r="I487" s="2661">
        <f>I488+I490</f>
        <v>0</v>
      </c>
      <c r="J487" s="2668">
        <f>J488+J490</f>
        <v>0</v>
      </c>
      <c r="K487" s="2631"/>
      <c r="L487" s="2631"/>
      <c r="M487" s="2631"/>
      <c r="N487" s="2663">
        <f>N488+N490</f>
        <v>0</v>
      </c>
      <c r="O487" s="2631"/>
      <c r="P487" s="2631"/>
      <c r="Q487" s="2631"/>
      <c r="R487" s="2631"/>
      <c r="S487" s="2631"/>
      <c r="T487" s="2631"/>
      <c r="U487" s="2660">
        <f>U488+U490</f>
        <v>0</v>
      </c>
    </row>
    <row r="488" spans="1:21" ht="21" hidden="1" x14ac:dyDescent="0.35">
      <c r="A488" s="1179"/>
      <c r="B488" s="753" t="s">
        <v>477</v>
      </c>
      <c r="C488" s="1180"/>
      <c r="D488" s="2750" t="s">
        <v>464</v>
      </c>
      <c r="E488" s="2750" t="s">
        <v>463</v>
      </c>
      <c r="F488" s="2750" t="s">
        <v>476</v>
      </c>
      <c r="G488" s="2751"/>
      <c r="H488" s="2660">
        <f>H489</f>
        <v>0</v>
      </c>
      <c r="I488" s="2661">
        <f>I489</f>
        <v>0</v>
      </c>
      <c r="J488" s="2668">
        <f>J489</f>
        <v>0</v>
      </c>
      <c r="K488" s="2631"/>
      <c r="L488" s="2631"/>
      <c r="M488" s="2631"/>
      <c r="N488" s="2663">
        <f>N489</f>
        <v>0</v>
      </c>
      <c r="O488" s="2631"/>
      <c r="P488" s="2631"/>
      <c r="Q488" s="2631"/>
      <c r="R488" s="2631"/>
      <c r="S488" s="2631"/>
      <c r="T488" s="2631"/>
      <c r="U488" s="2660">
        <f>U489</f>
        <v>0</v>
      </c>
    </row>
    <row r="489" spans="1:21" ht="21" hidden="1" x14ac:dyDescent="0.35">
      <c r="A489" s="1179"/>
      <c r="B489" s="1182" t="s">
        <v>454</v>
      </c>
      <c r="C489" s="1183"/>
      <c r="D489" s="2750" t="s">
        <v>464</v>
      </c>
      <c r="E489" s="2750" t="s">
        <v>463</v>
      </c>
      <c r="F489" s="2750" t="s">
        <v>476</v>
      </c>
      <c r="G489" s="2751" t="s">
        <v>1</v>
      </c>
      <c r="H489" s="2660"/>
      <c r="I489" s="2661"/>
      <c r="J489" s="2668"/>
      <c r="K489" s="2631"/>
      <c r="L489" s="2631"/>
      <c r="M489" s="2631"/>
      <c r="N489" s="2663"/>
      <c r="O489" s="2631"/>
      <c r="P489" s="2631"/>
      <c r="Q489" s="2631"/>
      <c r="R489" s="2631"/>
      <c r="S489" s="2631"/>
      <c r="T489" s="2631"/>
      <c r="U489" s="2660"/>
    </row>
    <row r="490" spans="1:21" ht="21" hidden="1" x14ac:dyDescent="0.35">
      <c r="A490" s="1179"/>
      <c r="B490" s="753" t="s">
        <v>475</v>
      </c>
      <c r="C490" s="1180"/>
      <c r="D490" s="2750" t="s">
        <v>464</v>
      </c>
      <c r="E490" s="2750" t="s">
        <v>463</v>
      </c>
      <c r="F490" s="2750" t="s">
        <v>474</v>
      </c>
      <c r="G490" s="2751"/>
      <c r="H490" s="2660">
        <f>H491</f>
        <v>0</v>
      </c>
      <c r="I490" s="2661">
        <f>I491</f>
        <v>0</v>
      </c>
      <c r="J490" s="2668">
        <f>J491</f>
        <v>0</v>
      </c>
      <c r="K490" s="2631"/>
      <c r="L490" s="2631"/>
      <c r="M490" s="2631"/>
      <c r="N490" s="2663">
        <f>N491</f>
        <v>0</v>
      </c>
      <c r="O490" s="2631"/>
      <c r="P490" s="2631"/>
      <c r="Q490" s="2631"/>
      <c r="R490" s="2631"/>
      <c r="S490" s="2631"/>
      <c r="T490" s="2631"/>
      <c r="U490" s="2660">
        <f>U491</f>
        <v>0</v>
      </c>
    </row>
    <row r="491" spans="1:21" ht="21" hidden="1" x14ac:dyDescent="0.35">
      <c r="A491" s="1179"/>
      <c r="B491" s="1182" t="s">
        <v>454</v>
      </c>
      <c r="C491" s="1183"/>
      <c r="D491" s="2750" t="s">
        <v>464</v>
      </c>
      <c r="E491" s="2750" t="s">
        <v>463</v>
      </c>
      <c r="F491" s="2750" t="s">
        <v>474</v>
      </c>
      <c r="G491" s="2751" t="s">
        <v>1</v>
      </c>
      <c r="H491" s="2660">
        <v>0</v>
      </c>
      <c r="I491" s="2661">
        <v>0</v>
      </c>
      <c r="J491" s="2668">
        <v>0</v>
      </c>
      <c r="K491" s="2631"/>
      <c r="L491" s="2631"/>
      <c r="M491" s="2631"/>
      <c r="N491" s="2663">
        <v>0</v>
      </c>
      <c r="O491" s="2631"/>
      <c r="P491" s="2631"/>
      <c r="Q491" s="2631"/>
      <c r="R491" s="2631"/>
      <c r="S491" s="2631"/>
      <c r="T491" s="2631"/>
      <c r="U491" s="2660">
        <v>0</v>
      </c>
    </row>
    <row r="492" spans="1:21" ht="30" customHeight="1" x14ac:dyDescent="0.35">
      <c r="A492" s="1179"/>
      <c r="B492" s="1205" t="s">
        <v>300</v>
      </c>
      <c r="C492" s="1180"/>
      <c r="D492" s="2750" t="s">
        <v>464</v>
      </c>
      <c r="E492" s="2750" t="s">
        <v>463</v>
      </c>
      <c r="F492" s="2750" t="s">
        <v>299</v>
      </c>
      <c r="G492" s="2751"/>
      <c r="H492" s="2660">
        <f>H493+H500</f>
        <v>250</v>
      </c>
      <c r="I492" s="2661">
        <f>I493+I505</f>
        <v>0</v>
      </c>
      <c r="J492" s="2668">
        <f>J493+J505</f>
        <v>0</v>
      </c>
      <c r="K492" s="2631"/>
      <c r="L492" s="2631"/>
      <c r="M492" s="2631"/>
      <c r="N492" s="2663">
        <f>N493+N500</f>
        <v>750</v>
      </c>
      <c r="O492" s="2631"/>
      <c r="P492" s="2631"/>
      <c r="Q492" s="2631"/>
      <c r="R492" s="2631"/>
      <c r="S492" s="2631"/>
      <c r="T492" s="2631"/>
      <c r="U492" s="2660">
        <f>U493+U500</f>
        <v>750</v>
      </c>
    </row>
    <row r="493" spans="1:21" ht="31.5" x14ac:dyDescent="0.35">
      <c r="A493" s="1179"/>
      <c r="B493" s="1203" t="s">
        <v>298</v>
      </c>
      <c r="C493" s="1180"/>
      <c r="D493" s="2750" t="s">
        <v>464</v>
      </c>
      <c r="E493" s="2750" t="s">
        <v>463</v>
      </c>
      <c r="F493" s="2750" t="s">
        <v>297</v>
      </c>
      <c r="G493" s="2751"/>
      <c r="H493" s="2660">
        <f t="shared" ref="H493:J493" si="113">H494</f>
        <v>250</v>
      </c>
      <c r="I493" s="2661">
        <f t="shared" si="113"/>
        <v>0</v>
      </c>
      <c r="J493" s="2668">
        <f t="shared" si="113"/>
        <v>0</v>
      </c>
      <c r="K493" s="2631"/>
      <c r="L493" s="2631"/>
      <c r="M493" s="2631"/>
      <c r="N493" s="2663">
        <f t="shared" ref="N493" si="114">N494</f>
        <v>750</v>
      </c>
      <c r="O493" s="2631"/>
      <c r="P493" s="2631"/>
      <c r="Q493" s="2631"/>
      <c r="R493" s="2631"/>
      <c r="S493" s="2631"/>
      <c r="T493" s="2631"/>
      <c r="U493" s="2660">
        <f t="shared" ref="U493" si="115">U494</f>
        <v>750</v>
      </c>
    </row>
    <row r="494" spans="1:21" ht="21" customHeight="1" x14ac:dyDescent="0.35">
      <c r="A494" s="1233"/>
      <c r="B494" s="1205" t="s">
        <v>296</v>
      </c>
      <c r="C494" s="1180"/>
      <c r="D494" s="2750" t="s">
        <v>464</v>
      </c>
      <c r="E494" s="2750" t="s">
        <v>463</v>
      </c>
      <c r="F494" s="2750" t="s">
        <v>294</v>
      </c>
      <c r="G494" s="2751"/>
      <c r="H494" s="2660">
        <f>H496</f>
        <v>250</v>
      </c>
      <c r="I494" s="2661">
        <f>I496</f>
        <v>0</v>
      </c>
      <c r="J494" s="2668">
        <f>J496</f>
        <v>0</v>
      </c>
      <c r="K494" s="2631"/>
      <c r="L494" s="2631"/>
      <c r="M494" s="2631"/>
      <c r="N494" s="2663">
        <f>N496</f>
        <v>750</v>
      </c>
      <c r="O494" s="2631"/>
      <c r="P494" s="2631"/>
      <c r="Q494" s="2631"/>
      <c r="R494" s="2631"/>
      <c r="S494" s="2631"/>
      <c r="T494" s="2631"/>
      <c r="U494" s="2660">
        <f>U496</f>
        <v>750</v>
      </c>
    </row>
    <row r="495" spans="1:21" ht="21" x14ac:dyDescent="0.35">
      <c r="A495" s="1233"/>
      <c r="B495" s="753" t="s">
        <v>948</v>
      </c>
      <c r="C495" s="1180"/>
      <c r="D495" s="2750" t="s">
        <v>464</v>
      </c>
      <c r="E495" s="2750" t="s">
        <v>463</v>
      </c>
      <c r="F495" s="2750" t="s">
        <v>294</v>
      </c>
      <c r="G495" s="2751" t="s">
        <v>955</v>
      </c>
      <c r="H495" s="2660">
        <f t="shared" ref="H495:U495" si="116">H496</f>
        <v>250</v>
      </c>
      <c r="I495" s="2661">
        <f t="shared" si="116"/>
        <v>0</v>
      </c>
      <c r="J495" s="2669">
        <f t="shared" si="116"/>
        <v>0</v>
      </c>
      <c r="K495" s="2631">
        <f t="shared" si="116"/>
        <v>0</v>
      </c>
      <c r="L495" s="2631">
        <f t="shared" si="116"/>
        <v>0</v>
      </c>
      <c r="M495" s="2631">
        <f t="shared" si="116"/>
        <v>0</v>
      </c>
      <c r="N495" s="2663">
        <f t="shared" si="116"/>
        <v>750</v>
      </c>
      <c r="O495" s="2631">
        <f t="shared" si="116"/>
        <v>0</v>
      </c>
      <c r="P495" s="2631">
        <f t="shared" si="116"/>
        <v>0</v>
      </c>
      <c r="Q495" s="2631">
        <f t="shared" si="116"/>
        <v>0</v>
      </c>
      <c r="R495" s="2631">
        <f t="shared" si="116"/>
        <v>0</v>
      </c>
      <c r="S495" s="2631">
        <f t="shared" si="116"/>
        <v>0</v>
      </c>
      <c r="T495" s="2631">
        <f t="shared" si="116"/>
        <v>0</v>
      </c>
      <c r="U495" s="2660">
        <f t="shared" si="116"/>
        <v>750</v>
      </c>
    </row>
    <row r="496" spans="1:21" ht="21" x14ac:dyDescent="0.35">
      <c r="A496" s="1233"/>
      <c r="B496" s="1182" t="s">
        <v>454</v>
      </c>
      <c r="C496" s="1183"/>
      <c r="D496" s="2750" t="s">
        <v>464</v>
      </c>
      <c r="E496" s="2750" t="s">
        <v>463</v>
      </c>
      <c r="F496" s="2750" t="s">
        <v>294</v>
      </c>
      <c r="G496" s="2751" t="s">
        <v>1</v>
      </c>
      <c r="H496" s="2660">
        <v>250</v>
      </c>
      <c r="I496" s="2661"/>
      <c r="J496" s="2662"/>
      <c r="K496" s="2631"/>
      <c r="L496" s="2631"/>
      <c r="M496" s="2631"/>
      <c r="N496" s="2663">
        <v>750</v>
      </c>
      <c r="O496" s="2631"/>
      <c r="P496" s="2631"/>
      <c r="Q496" s="2631"/>
      <c r="R496" s="2631"/>
      <c r="S496" s="2631"/>
      <c r="T496" s="2631"/>
      <c r="U496" s="2660">
        <v>750</v>
      </c>
    </row>
    <row r="497" spans="1:21" ht="31.5" hidden="1" x14ac:dyDescent="0.35">
      <c r="A497" s="1233"/>
      <c r="B497" s="1393" t="s">
        <v>1057</v>
      </c>
      <c r="C497" s="1183"/>
      <c r="D497" s="2750" t="s">
        <v>464</v>
      </c>
      <c r="E497" s="2750" t="s">
        <v>463</v>
      </c>
      <c r="F497" s="2750" t="s">
        <v>472</v>
      </c>
      <c r="G497" s="2751"/>
      <c r="H497" s="2660">
        <f>H498</f>
        <v>0</v>
      </c>
      <c r="I497" s="2661"/>
      <c r="J497" s="2662"/>
      <c r="K497" s="2631"/>
      <c r="L497" s="2631"/>
      <c r="M497" s="2631"/>
      <c r="N497" s="2663">
        <f>N498</f>
        <v>0</v>
      </c>
      <c r="O497" s="2631"/>
      <c r="P497" s="2631"/>
      <c r="Q497" s="2631"/>
      <c r="R497" s="2631"/>
      <c r="S497" s="2631"/>
      <c r="T497" s="2631"/>
      <c r="U497" s="2660">
        <f>U498</f>
        <v>0</v>
      </c>
    </row>
    <row r="498" spans="1:21" hidden="1" x14ac:dyDescent="0.35">
      <c r="A498" s="1233"/>
      <c r="B498" s="1393" t="s">
        <v>1058</v>
      </c>
      <c r="C498" s="1183"/>
      <c r="D498" s="2750" t="s">
        <v>464</v>
      </c>
      <c r="E498" s="2750" t="s">
        <v>463</v>
      </c>
      <c r="F498" s="2750" t="s">
        <v>1056</v>
      </c>
      <c r="G498" s="2751"/>
      <c r="H498" s="2660">
        <f>H500</f>
        <v>0</v>
      </c>
      <c r="I498" s="2661"/>
      <c r="J498" s="2662"/>
      <c r="K498" s="2631"/>
      <c r="L498" s="2631"/>
      <c r="M498" s="2631"/>
      <c r="N498" s="2663">
        <f>N500</f>
        <v>0</v>
      </c>
      <c r="O498" s="2631"/>
      <c r="P498" s="2631"/>
      <c r="Q498" s="2631"/>
      <c r="R498" s="2631"/>
      <c r="S498" s="2631"/>
      <c r="T498" s="2631"/>
      <c r="U498" s="2660">
        <f>U500</f>
        <v>0</v>
      </c>
    </row>
    <row r="499" spans="1:21" ht="21" hidden="1" x14ac:dyDescent="0.35">
      <c r="A499" s="1233"/>
      <c r="B499" s="1393" t="s">
        <v>1061</v>
      </c>
      <c r="C499" s="1183"/>
      <c r="D499" s="2750" t="s">
        <v>464</v>
      </c>
      <c r="E499" s="2750" t="s">
        <v>463</v>
      </c>
      <c r="F499" s="2750" t="s">
        <v>1056</v>
      </c>
      <c r="G499" s="2751" t="s">
        <v>1060</v>
      </c>
      <c r="H499" s="2660">
        <f t="shared" ref="H499:U499" si="117">H500</f>
        <v>0</v>
      </c>
      <c r="I499" s="2661">
        <f t="shared" si="117"/>
        <v>0</v>
      </c>
      <c r="J499" s="2662">
        <f t="shared" si="117"/>
        <v>0</v>
      </c>
      <c r="K499" s="2631">
        <f t="shared" si="117"/>
        <v>0</v>
      </c>
      <c r="L499" s="2631">
        <f t="shared" si="117"/>
        <v>0</v>
      </c>
      <c r="M499" s="2631">
        <f t="shared" si="117"/>
        <v>0</v>
      </c>
      <c r="N499" s="2663">
        <f t="shared" si="117"/>
        <v>0</v>
      </c>
      <c r="O499" s="2631">
        <f t="shared" si="117"/>
        <v>0</v>
      </c>
      <c r="P499" s="2631">
        <f t="shared" si="117"/>
        <v>0</v>
      </c>
      <c r="Q499" s="2631">
        <f t="shared" si="117"/>
        <v>0</v>
      </c>
      <c r="R499" s="2631">
        <f t="shared" si="117"/>
        <v>0</v>
      </c>
      <c r="S499" s="2631">
        <f t="shared" si="117"/>
        <v>0</v>
      </c>
      <c r="T499" s="2631">
        <f t="shared" si="117"/>
        <v>0</v>
      </c>
      <c r="U499" s="2660">
        <f t="shared" si="117"/>
        <v>0</v>
      </c>
    </row>
    <row r="500" spans="1:21" hidden="1" x14ac:dyDescent="0.35">
      <c r="A500" s="1233"/>
      <c r="B500" s="1408" t="s">
        <v>28</v>
      </c>
      <c r="C500" s="1183"/>
      <c r="D500" s="2750" t="s">
        <v>464</v>
      </c>
      <c r="E500" s="2750" t="s">
        <v>463</v>
      </c>
      <c r="F500" s="2750" t="s">
        <v>1056</v>
      </c>
      <c r="G500" s="2751" t="s">
        <v>26</v>
      </c>
      <c r="H500" s="2660">
        <f>1000-295-705</f>
        <v>0</v>
      </c>
      <c r="I500" s="2661"/>
      <c r="J500" s="2662"/>
      <c r="K500" s="2631"/>
      <c r="L500" s="2631"/>
      <c r="M500" s="2631"/>
      <c r="N500" s="2663">
        <f>1000-307-693</f>
        <v>0</v>
      </c>
      <c r="O500" s="2631"/>
      <c r="P500" s="2631"/>
      <c r="Q500" s="2631"/>
      <c r="R500" s="2631"/>
      <c r="S500" s="2631"/>
      <c r="T500" s="2631"/>
      <c r="U500" s="2660">
        <f>1000-320-680</f>
        <v>0</v>
      </c>
    </row>
    <row r="501" spans="1:21" hidden="1" x14ac:dyDescent="0.35">
      <c r="A501" s="1233"/>
      <c r="B501" s="1393" t="s">
        <v>64</v>
      </c>
      <c r="C501" s="1183"/>
      <c r="D501" s="2750" t="s">
        <v>464</v>
      </c>
      <c r="E501" s="2750" t="s">
        <v>463</v>
      </c>
      <c r="F501" s="2750" t="s">
        <v>1056</v>
      </c>
      <c r="G501" s="2751"/>
      <c r="H501" s="2660"/>
      <c r="I501" s="2661"/>
      <c r="J501" s="2662"/>
      <c r="K501" s="2631"/>
      <c r="L501" s="2631"/>
      <c r="M501" s="2631"/>
      <c r="N501" s="2663"/>
      <c r="O501" s="2631"/>
      <c r="P501" s="2631"/>
      <c r="Q501" s="2631"/>
      <c r="R501" s="2631"/>
      <c r="S501" s="2631"/>
      <c r="T501" s="2631"/>
      <c r="U501" s="2660"/>
    </row>
    <row r="502" spans="1:21" x14ac:dyDescent="0.35">
      <c r="A502" s="1233"/>
      <c r="B502" s="1255" t="s">
        <v>934</v>
      </c>
      <c r="C502" s="1183"/>
      <c r="D502" s="2750" t="s">
        <v>534</v>
      </c>
      <c r="E502" s="2750"/>
      <c r="F502" s="2750"/>
      <c r="G502" s="2751"/>
      <c r="H502" s="2660">
        <f>H503</f>
        <v>900</v>
      </c>
      <c r="I502" s="2661"/>
      <c r="J502" s="2662"/>
      <c r="K502" s="2639">
        <v>1200</v>
      </c>
      <c r="L502" s="2631"/>
      <c r="M502" s="2631"/>
      <c r="N502" s="2663">
        <f>N503</f>
        <v>962.99999999999977</v>
      </c>
      <c r="O502" s="2631"/>
      <c r="P502" s="2631"/>
      <c r="Q502" s="2631"/>
      <c r="R502" s="2631"/>
      <c r="S502" s="2631"/>
      <c r="T502" s="2631"/>
      <c r="U502" s="2660">
        <f>U503</f>
        <v>963</v>
      </c>
    </row>
    <row r="503" spans="1:21" x14ac:dyDescent="0.35">
      <c r="A503" s="1233"/>
      <c r="B503" s="752" t="s">
        <v>920</v>
      </c>
      <c r="C503" s="1183"/>
      <c r="D503" s="2750" t="s">
        <v>534</v>
      </c>
      <c r="E503" s="2750" t="s">
        <v>488</v>
      </c>
      <c r="F503" s="2750"/>
      <c r="G503" s="2751"/>
      <c r="H503" s="2660">
        <f>H504</f>
        <v>900</v>
      </c>
      <c r="I503" s="2661"/>
      <c r="J503" s="2662"/>
      <c r="K503" s="2631"/>
      <c r="L503" s="2631"/>
      <c r="M503" s="2631"/>
      <c r="N503" s="2663">
        <f>N504</f>
        <v>962.99999999999977</v>
      </c>
      <c r="O503" s="2631"/>
      <c r="P503" s="2631"/>
      <c r="Q503" s="2631"/>
      <c r="R503" s="2631"/>
      <c r="S503" s="2631"/>
      <c r="T503" s="2631"/>
      <c r="U503" s="2660">
        <f>U504</f>
        <v>963</v>
      </c>
    </row>
    <row r="504" spans="1:21" x14ac:dyDescent="0.35">
      <c r="A504" s="305"/>
      <c r="B504" s="753" t="s">
        <v>109</v>
      </c>
      <c r="C504" s="1183"/>
      <c r="D504" s="2750" t="s">
        <v>534</v>
      </c>
      <c r="E504" s="2750" t="s">
        <v>488</v>
      </c>
      <c r="F504" s="2750" t="s">
        <v>84</v>
      </c>
      <c r="G504" s="2751"/>
      <c r="H504" s="2660">
        <f>H505</f>
        <v>900</v>
      </c>
      <c r="I504" s="2661"/>
      <c r="J504" s="2662"/>
      <c r="K504" s="2631"/>
      <c r="L504" s="2631"/>
      <c r="M504" s="2631"/>
      <c r="N504" s="2663">
        <f>N505</f>
        <v>962.99999999999977</v>
      </c>
      <c r="O504" s="2631"/>
      <c r="P504" s="2631"/>
      <c r="Q504" s="2631"/>
      <c r="R504" s="2631"/>
      <c r="S504" s="2631"/>
      <c r="T504" s="2631"/>
      <c r="U504" s="2660">
        <f>U505</f>
        <v>963</v>
      </c>
    </row>
    <row r="505" spans="1:21" x14ac:dyDescent="0.35">
      <c r="A505" s="273"/>
      <c r="B505" s="753" t="s">
        <v>109</v>
      </c>
      <c r="C505" s="1180"/>
      <c r="D505" s="2750" t="s">
        <v>534</v>
      </c>
      <c r="E505" s="2750" t="s">
        <v>488</v>
      </c>
      <c r="F505" s="2750" t="s">
        <v>82</v>
      </c>
      <c r="G505" s="2751"/>
      <c r="H505" s="2660">
        <f>H506</f>
        <v>900</v>
      </c>
      <c r="I505" s="2661">
        <f>I506</f>
        <v>0</v>
      </c>
      <c r="J505" s="2662">
        <f>J506</f>
        <v>0</v>
      </c>
      <c r="K505" s="2631"/>
      <c r="L505" s="2631"/>
      <c r="M505" s="2631"/>
      <c r="N505" s="2663">
        <f>N506</f>
        <v>962.99999999999977</v>
      </c>
      <c r="O505" s="2631"/>
      <c r="P505" s="2631"/>
      <c r="Q505" s="2631"/>
      <c r="R505" s="2631"/>
      <c r="S505" s="2631"/>
      <c r="T505" s="2631"/>
      <c r="U505" s="2660">
        <f>U506</f>
        <v>963</v>
      </c>
    </row>
    <row r="506" spans="1:21" ht="31.5" x14ac:dyDescent="0.35">
      <c r="A506" s="305"/>
      <c r="B506" s="1205" t="s">
        <v>918</v>
      </c>
      <c r="C506" s="1180"/>
      <c r="D506" s="2750" t="s">
        <v>534</v>
      </c>
      <c r="E506" s="2750" t="s">
        <v>488</v>
      </c>
      <c r="F506" s="2750" t="s">
        <v>919</v>
      </c>
      <c r="G506" s="2751"/>
      <c r="H506" s="2660">
        <f>H508</f>
        <v>900</v>
      </c>
      <c r="I506" s="2661">
        <f>I508</f>
        <v>0</v>
      </c>
      <c r="J506" s="2662">
        <f>J508</f>
        <v>0</v>
      </c>
      <c r="K506" s="2631"/>
      <c r="L506" s="2631"/>
      <c r="M506" s="2631"/>
      <c r="N506" s="2663">
        <f>N508</f>
        <v>962.99999999999977</v>
      </c>
      <c r="O506" s="2631"/>
      <c r="P506" s="2631"/>
      <c r="Q506" s="2631"/>
      <c r="R506" s="2631"/>
      <c r="S506" s="2631"/>
      <c r="T506" s="2631"/>
      <c r="U506" s="2660">
        <f>U508</f>
        <v>963</v>
      </c>
    </row>
    <row r="507" spans="1:21" ht="21" x14ac:dyDescent="0.35">
      <c r="A507" s="304"/>
      <c r="B507" s="1256" t="s">
        <v>921</v>
      </c>
      <c r="C507" s="1257"/>
      <c r="D507" s="2750" t="s">
        <v>534</v>
      </c>
      <c r="E507" s="2750" t="s">
        <v>488</v>
      </c>
      <c r="F507" s="2750" t="s">
        <v>919</v>
      </c>
      <c r="G507" s="2753" t="s">
        <v>955</v>
      </c>
      <c r="H507" s="2695">
        <f>H508</f>
        <v>900</v>
      </c>
      <c r="I507" s="2661"/>
      <c r="J507" s="2662"/>
      <c r="K507" s="2631"/>
      <c r="L507" s="2631"/>
      <c r="M507" s="2631"/>
      <c r="N507" s="2696">
        <f>N508</f>
        <v>962.99999999999977</v>
      </c>
      <c r="O507" s="2631"/>
      <c r="P507" s="2631"/>
      <c r="Q507" s="2631"/>
      <c r="R507" s="2631"/>
      <c r="S507" s="2631"/>
      <c r="T507" s="2631"/>
      <c r="U507" s="2695">
        <f>U508</f>
        <v>963</v>
      </c>
    </row>
    <row r="508" spans="1:21" ht="21.5" thickBot="1" x14ac:dyDescent="0.4">
      <c r="A508" s="778"/>
      <c r="B508" s="1259" t="s">
        <v>454</v>
      </c>
      <c r="C508" s="1260"/>
      <c r="D508" s="2772" t="s">
        <v>534</v>
      </c>
      <c r="E508" s="2772" t="s">
        <v>488</v>
      </c>
      <c r="F508" s="2772" t="s">
        <v>919</v>
      </c>
      <c r="G508" s="2773" t="s">
        <v>1</v>
      </c>
      <c r="H508" s="2697">
        <v>900</v>
      </c>
      <c r="I508" s="2661"/>
      <c r="J508" s="2662"/>
      <c r="K508" s="2631"/>
      <c r="L508" s="2631"/>
      <c r="M508" s="2631"/>
      <c r="N508" s="2698">
        <f>963+1151.093-1151.093</f>
        <v>962.99999999999977</v>
      </c>
      <c r="O508" s="2631"/>
      <c r="P508" s="2631"/>
      <c r="Q508" s="2631"/>
      <c r="R508" s="2631"/>
      <c r="S508" s="2631"/>
      <c r="T508" s="2631"/>
      <c r="U508" s="2697">
        <v>963</v>
      </c>
    </row>
    <row r="509" spans="1:21" ht="34.5" hidden="1" customHeight="1" x14ac:dyDescent="0.35">
      <c r="A509" s="291"/>
      <c r="B509" s="290" t="s">
        <v>469</v>
      </c>
      <c r="C509" s="289"/>
      <c r="D509" s="2774" t="s">
        <v>464</v>
      </c>
      <c r="E509" s="2774" t="s">
        <v>463</v>
      </c>
      <c r="F509" s="2774" t="s">
        <v>468</v>
      </c>
      <c r="G509" s="2775"/>
      <c r="H509" s="2699">
        <f t="shared" ref="H509:J511" si="118">H510</f>
        <v>0</v>
      </c>
      <c r="I509" s="2661">
        <f t="shared" si="118"/>
        <v>0</v>
      </c>
      <c r="J509" s="2662">
        <f t="shared" si="118"/>
        <v>0</v>
      </c>
      <c r="K509" s="2631"/>
      <c r="L509" s="2631"/>
      <c r="M509" s="2631"/>
      <c r="N509" s="2700">
        <f t="shared" ref="N509:N511" si="119">N510</f>
        <v>0</v>
      </c>
      <c r="O509" s="2631"/>
      <c r="P509" s="2631"/>
      <c r="Q509" s="2631"/>
      <c r="R509" s="2631"/>
      <c r="S509" s="2631"/>
      <c r="T509" s="2631"/>
      <c r="U509" s="2699">
        <f t="shared" ref="U509:U511" si="120">U510</f>
        <v>0</v>
      </c>
    </row>
    <row r="510" spans="1:21" ht="20.5" hidden="1" thickBot="1" x14ac:dyDescent="0.4">
      <c r="A510" s="273"/>
      <c r="B510" s="285" t="s">
        <v>467</v>
      </c>
      <c r="C510" s="272"/>
      <c r="D510" s="2776" t="s">
        <v>464</v>
      </c>
      <c r="E510" s="2776" t="s">
        <v>463</v>
      </c>
      <c r="F510" s="2776" t="s">
        <v>466</v>
      </c>
      <c r="G510" s="2766"/>
      <c r="H510" s="2701">
        <f t="shared" si="118"/>
        <v>0</v>
      </c>
      <c r="I510" s="2661">
        <f t="shared" si="118"/>
        <v>0</v>
      </c>
      <c r="J510" s="2662">
        <f t="shared" si="118"/>
        <v>0</v>
      </c>
      <c r="K510" s="2631"/>
      <c r="L510" s="2631"/>
      <c r="M510" s="2631"/>
      <c r="N510" s="2702">
        <f t="shared" si="119"/>
        <v>0</v>
      </c>
      <c r="O510" s="2631"/>
      <c r="P510" s="2631"/>
      <c r="Q510" s="2631"/>
      <c r="R510" s="2631"/>
      <c r="S510" s="2631"/>
      <c r="T510" s="2631"/>
      <c r="U510" s="2701">
        <f t="shared" si="120"/>
        <v>0</v>
      </c>
    </row>
    <row r="511" spans="1:21" ht="16" hidden="1" thickBot="1" x14ac:dyDescent="0.4">
      <c r="A511" s="305"/>
      <c r="B511" s="285" t="s">
        <v>465</v>
      </c>
      <c r="C511" s="272"/>
      <c r="D511" s="2776" t="s">
        <v>464</v>
      </c>
      <c r="E511" s="2776" t="s">
        <v>463</v>
      </c>
      <c r="F511" s="2776" t="s">
        <v>462</v>
      </c>
      <c r="G511" s="2766"/>
      <c r="H511" s="2701">
        <f t="shared" si="118"/>
        <v>0</v>
      </c>
      <c r="I511" s="2661">
        <f t="shared" si="118"/>
        <v>0</v>
      </c>
      <c r="J511" s="2662">
        <f t="shared" si="118"/>
        <v>0</v>
      </c>
      <c r="K511" s="2631"/>
      <c r="L511" s="2631"/>
      <c r="M511" s="2631"/>
      <c r="N511" s="2702">
        <f t="shared" si="119"/>
        <v>0</v>
      </c>
      <c r="O511" s="2631"/>
      <c r="P511" s="2631"/>
      <c r="Q511" s="2631"/>
      <c r="R511" s="2631"/>
      <c r="S511" s="2631"/>
      <c r="T511" s="2631"/>
      <c r="U511" s="2701">
        <f t="shared" si="120"/>
        <v>0</v>
      </c>
    </row>
    <row r="512" spans="1:21" ht="20.5" hidden="1" thickBot="1" x14ac:dyDescent="0.4">
      <c r="A512" s="304"/>
      <c r="B512" s="303" t="s">
        <v>454</v>
      </c>
      <c r="C512" s="302"/>
      <c r="D512" s="2777" t="s">
        <v>464</v>
      </c>
      <c r="E512" s="2777" t="s">
        <v>463</v>
      </c>
      <c r="F512" s="2777" t="s">
        <v>462</v>
      </c>
      <c r="G512" s="2778" t="s">
        <v>1</v>
      </c>
      <c r="H512" s="2703"/>
      <c r="I512" s="2629"/>
      <c r="J512" s="2704"/>
      <c r="K512" s="2631"/>
      <c r="L512" s="2631"/>
      <c r="M512" s="2631"/>
      <c r="N512" s="2705"/>
      <c r="O512" s="2631"/>
      <c r="P512" s="2631"/>
      <c r="Q512" s="2631"/>
      <c r="R512" s="2631"/>
      <c r="S512" s="2631"/>
      <c r="T512" s="2631"/>
      <c r="U512" s="2703"/>
    </row>
    <row r="513" spans="1:21" ht="16" hidden="1" thickBot="1" x14ac:dyDescent="0.4">
      <c r="A513" s="437"/>
      <c r="B513" s="438"/>
      <c r="C513" s="439"/>
      <c r="D513" s="2779"/>
      <c r="E513" s="2779"/>
      <c r="F513" s="2779"/>
      <c r="G513" s="2780"/>
      <c r="H513" s="2706"/>
      <c r="I513" s="2654"/>
      <c r="J513" s="2707"/>
      <c r="K513" s="2631"/>
      <c r="L513" s="2631"/>
      <c r="M513" s="2631"/>
      <c r="N513" s="2708"/>
      <c r="O513" s="2631"/>
      <c r="P513" s="2631"/>
      <c r="Q513" s="2631"/>
      <c r="R513" s="2631"/>
      <c r="S513" s="2631"/>
      <c r="T513" s="2631"/>
      <c r="U513" s="2706"/>
    </row>
    <row r="514" spans="1:21" ht="16" hidden="1" thickBot="1" x14ac:dyDescent="0.4">
      <c r="A514" s="298">
        <v>3</v>
      </c>
      <c r="B514" s="297" t="s">
        <v>461</v>
      </c>
      <c r="C514" s="296" t="s">
        <v>430</v>
      </c>
      <c r="D514" s="2781"/>
      <c r="E514" s="2781"/>
      <c r="F514" s="2781"/>
      <c r="G514" s="2782"/>
      <c r="H514" s="2709">
        <f>H515</f>
        <v>13220.665000000001</v>
      </c>
      <c r="I514" s="2633">
        <f>I515</f>
        <v>8212.5999999999985</v>
      </c>
      <c r="J514" s="2634">
        <f>J515</f>
        <v>8263</v>
      </c>
      <c r="K514" s="2631"/>
      <c r="L514" s="2631"/>
      <c r="M514" s="2631"/>
      <c r="N514" s="2710">
        <f>N515</f>
        <v>13378.251</v>
      </c>
      <c r="O514" s="2631"/>
      <c r="P514" s="2631"/>
      <c r="Q514" s="2631"/>
      <c r="R514" s="2631"/>
      <c r="S514" s="2631"/>
      <c r="T514" s="2631"/>
      <c r="U514" s="2709">
        <f>U515</f>
        <v>13542.913</v>
      </c>
    </row>
    <row r="515" spans="1:21" ht="16" hidden="1" thickBot="1" x14ac:dyDescent="0.4">
      <c r="A515" s="291"/>
      <c r="B515" s="290" t="s">
        <v>460</v>
      </c>
      <c r="C515" s="289"/>
      <c r="D515" s="2774" t="s">
        <v>453</v>
      </c>
      <c r="E515" s="2774" t="s">
        <v>459</v>
      </c>
      <c r="F515" s="2774"/>
      <c r="G515" s="2775"/>
      <c r="H515" s="2699">
        <f>H516+H529+H524</f>
        <v>13220.665000000001</v>
      </c>
      <c r="I515" s="2637">
        <f>I516+I529</f>
        <v>8212.5999999999985</v>
      </c>
      <c r="J515" s="2711">
        <f>J516+J529</f>
        <v>8263</v>
      </c>
      <c r="K515" s="2631"/>
      <c r="L515" s="2631"/>
      <c r="M515" s="2631"/>
      <c r="N515" s="2700">
        <f>N516+N529+N524</f>
        <v>13378.251</v>
      </c>
      <c r="O515" s="2631"/>
      <c r="P515" s="2631"/>
      <c r="Q515" s="2631"/>
      <c r="R515" s="2631"/>
      <c r="S515" s="2631"/>
      <c r="T515" s="2631"/>
      <c r="U515" s="2699">
        <f>U516+U529+U524</f>
        <v>13542.913</v>
      </c>
    </row>
    <row r="516" spans="1:21" ht="16" hidden="1" thickBot="1" x14ac:dyDescent="0.4">
      <c r="A516" s="273"/>
      <c r="B516" s="282" t="s">
        <v>87</v>
      </c>
      <c r="C516" s="279"/>
      <c r="D516" s="2776" t="s">
        <v>453</v>
      </c>
      <c r="E516" s="2776" t="s">
        <v>456</v>
      </c>
      <c r="F516" s="2776"/>
      <c r="G516" s="2766"/>
      <c r="H516" s="2701">
        <f t="shared" ref="H516:J519" si="121">H517</f>
        <v>7296.08</v>
      </c>
      <c r="I516" s="2661">
        <f t="shared" si="121"/>
        <v>6962.0999999999995</v>
      </c>
      <c r="J516" s="2662">
        <f t="shared" si="121"/>
        <v>6915</v>
      </c>
      <c r="K516" s="2631"/>
      <c r="L516" s="2631"/>
      <c r="M516" s="2631"/>
      <c r="N516" s="2702">
        <f t="shared" ref="N516:N519" si="122">N517</f>
        <v>7296.08</v>
      </c>
      <c r="O516" s="2631"/>
      <c r="P516" s="2631"/>
      <c r="Q516" s="2631"/>
      <c r="R516" s="2631"/>
      <c r="S516" s="2631"/>
      <c r="T516" s="2631"/>
      <c r="U516" s="2701">
        <f t="shared" ref="U516:U519" si="123">U517</f>
        <v>7296.08</v>
      </c>
    </row>
    <row r="517" spans="1:21" ht="32" hidden="1" thickBot="1" x14ac:dyDescent="0.4">
      <c r="A517" s="281"/>
      <c r="B517" s="307" t="s">
        <v>621</v>
      </c>
      <c r="C517" s="279"/>
      <c r="D517" s="2776" t="s">
        <v>453</v>
      </c>
      <c r="E517" s="2776" t="s">
        <v>456</v>
      </c>
      <c r="F517" s="2776" t="s">
        <v>273</v>
      </c>
      <c r="G517" s="2766"/>
      <c r="H517" s="2701">
        <f t="shared" si="121"/>
        <v>7296.08</v>
      </c>
      <c r="I517" s="2661">
        <f t="shared" si="121"/>
        <v>6962.0999999999995</v>
      </c>
      <c r="J517" s="2662">
        <f t="shared" si="121"/>
        <v>6915</v>
      </c>
      <c r="K517" s="2631"/>
      <c r="L517" s="2631"/>
      <c r="M517" s="2631"/>
      <c r="N517" s="2702">
        <f t="shared" si="122"/>
        <v>7296.08</v>
      </c>
      <c r="O517" s="2631"/>
      <c r="P517" s="2631"/>
      <c r="Q517" s="2631"/>
      <c r="R517" s="2631"/>
      <c r="S517" s="2631"/>
      <c r="T517" s="2631"/>
      <c r="U517" s="2701">
        <f t="shared" si="123"/>
        <v>7296.08</v>
      </c>
    </row>
    <row r="518" spans="1:21" ht="30.5" hidden="1" thickBot="1" x14ac:dyDescent="0.4">
      <c r="A518" s="281"/>
      <c r="B518" s="310" t="s">
        <v>261</v>
      </c>
      <c r="C518" s="272"/>
      <c r="D518" s="2776" t="s">
        <v>453</v>
      </c>
      <c r="E518" s="2776" t="s">
        <v>456</v>
      </c>
      <c r="F518" s="2776" t="s">
        <v>260</v>
      </c>
      <c r="G518" s="2766"/>
      <c r="H518" s="2701">
        <f t="shared" si="121"/>
        <v>7296.08</v>
      </c>
      <c r="I518" s="2661">
        <f t="shared" si="121"/>
        <v>6962.0999999999995</v>
      </c>
      <c r="J518" s="2662">
        <f t="shared" si="121"/>
        <v>6915</v>
      </c>
      <c r="K518" s="2631"/>
      <c r="L518" s="2631"/>
      <c r="M518" s="2631"/>
      <c r="N518" s="2702">
        <f t="shared" si="122"/>
        <v>7296.08</v>
      </c>
      <c r="O518" s="2631"/>
      <c r="P518" s="2631"/>
      <c r="Q518" s="2631"/>
      <c r="R518" s="2631"/>
      <c r="S518" s="2631"/>
      <c r="T518" s="2631"/>
      <c r="U518" s="2701">
        <f t="shared" si="123"/>
        <v>7296.08</v>
      </c>
    </row>
    <row r="519" spans="1:21" ht="16" hidden="1" thickBot="1" x14ac:dyDescent="0.4">
      <c r="A519" s="281"/>
      <c r="B519" s="274" t="s">
        <v>259</v>
      </c>
      <c r="C519" s="272"/>
      <c r="D519" s="2776" t="s">
        <v>453</v>
      </c>
      <c r="E519" s="2776" t="s">
        <v>456</v>
      </c>
      <c r="F519" s="2776" t="s">
        <v>258</v>
      </c>
      <c r="G519" s="2766"/>
      <c r="H519" s="2701">
        <f t="shared" si="121"/>
        <v>7296.08</v>
      </c>
      <c r="I519" s="2661">
        <f t="shared" si="121"/>
        <v>6962.0999999999995</v>
      </c>
      <c r="J519" s="2662">
        <f t="shared" si="121"/>
        <v>6915</v>
      </c>
      <c r="K519" s="2631"/>
      <c r="L519" s="2631"/>
      <c r="M519" s="2631"/>
      <c r="N519" s="2702">
        <f t="shared" si="122"/>
        <v>7296.08</v>
      </c>
      <c r="O519" s="2631"/>
      <c r="P519" s="2631"/>
      <c r="Q519" s="2631"/>
      <c r="R519" s="2631"/>
      <c r="S519" s="2631"/>
      <c r="T519" s="2631"/>
      <c r="U519" s="2701">
        <f t="shared" si="123"/>
        <v>7296.08</v>
      </c>
    </row>
    <row r="520" spans="1:21" ht="20.5" hidden="1" thickBot="1" x14ac:dyDescent="0.4">
      <c r="A520" s="281"/>
      <c r="B520" s="285" t="s">
        <v>351</v>
      </c>
      <c r="C520" s="272"/>
      <c r="D520" s="2776" t="s">
        <v>453</v>
      </c>
      <c r="E520" s="2776" t="s">
        <v>456</v>
      </c>
      <c r="F520" s="2776" t="s">
        <v>254</v>
      </c>
      <c r="G520" s="2766"/>
      <c r="H520" s="2701">
        <f>H521+H522+H523</f>
        <v>7296.08</v>
      </c>
      <c r="I520" s="2661">
        <f>I521+I522+I523</f>
        <v>6962.0999999999995</v>
      </c>
      <c r="J520" s="2662">
        <f>J521+J522+J523</f>
        <v>6915</v>
      </c>
      <c r="K520" s="2631"/>
      <c r="L520" s="2631"/>
      <c r="M520" s="2631"/>
      <c r="N520" s="2702">
        <f>N521+N522+N523</f>
        <v>7296.08</v>
      </c>
      <c r="O520" s="2631"/>
      <c r="P520" s="2631"/>
      <c r="Q520" s="2631"/>
      <c r="R520" s="2631"/>
      <c r="S520" s="2631"/>
      <c r="T520" s="2631"/>
      <c r="U520" s="2701">
        <f>U521+U522+U523</f>
        <v>7296.08</v>
      </c>
    </row>
    <row r="521" spans="1:21" ht="16" hidden="1" thickBot="1" x14ac:dyDescent="0.4">
      <c r="A521" s="273"/>
      <c r="B521" s="284" t="s">
        <v>458</v>
      </c>
      <c r="C521" s="283"/>
      <c r="D521" s="2776" t="s">
        <v>453</v>
      </c>
      <c r="E521" s="2776" t="s">
        <v>456</v>
      </c>
      <c r="F521" s="2776" t="s">
        <v>254</v>
      </c>
      <c r="G521" s="2766" t="s">
        <v>255</v>
      </c>
      <c r="H521" s="2701">
        <f>4510.863-660.6</f>
        <v>3850.2630000000004</v>
      </c>
      <c r="I521" s="2661">
        <v>4886.9669999999996</v>
      </c>
      <c r="J521" s="2662">
        <v>5375.0079999999998</v>
      </c>
      <c r="K521" s="2631"/>
      <c r="L521" s="2631"/>
      <c r="M521" s="2631"/>
      <c r="N521" s="2702">
        <f>4510.863-660.6</f>
        <v>3850.2630000000004</v>
      </c>
      <c r="O521" s="2631"/>
      <c r="P521" s="2631"/>
      <c r="Q521" s="2631"/>
      <c r="R521" s="2631"/>
      <c r="S521" s="2631"/>
      <c r="T521" s="2631"/>
      <c r="U521" s="2701">
        <f>4510.863-660.6</f>
        <v>3850.2630000000004</v>
      </c>
    </row>
    <row r="522" spans="1:21" ht="20.5" hidden="1" thickBot="1" x14ac:dyDescent="0.4">
      <c r="A522" s="273"/>
      <c r="B522" s="284" t="s">
        <v>454</v>
      </c>
      <c r="C522" s="283"/>
      <c r="D522" s="2776" t="s">
        <v>453</v>
      </c>
      <c r="E522" s="2776" t="s">
        <v>456</v>
      </c>
      <c r="F522" s="2776" t="s">
        <v>254</v>
      </c>
      <c r="G522" s="2766" t="s">
        <v>1</v>
      </c>
      <c r="H522" s="2701">
        <f>1564.263+1880.841</f>
        <v>3445.1039999999998</v>
      </c>
      <c r="I522" s="2661">
        <v>2074.1329999999998</v>
      </c>
      <c r="J522" s="2662">
        <v>1538.992</v>
      </c>
      <c r="K522" s="2631"/>
      <c r="L522" s="2631"/>
      <c r="M522" s="2631"/>
      <c r="N522" s="2702">
        <f>1564.263+1880.841</f>
        <v>3445.1039999999998</v>
      </c>
      <c r="O522" s="2631"/>
      <c r="P522" s="2631"/>
      <c r="Q522" s="2631"/>
      <c r="R522" s="2631"/>
      <c r="S522" s="2631"/>
      <c r="T522" s="2631"/>
      <c r="U522" s="2701">
        <f>1564.263+1880.841</f>
        <v>3445.1039999999998</v>
      </c>
    </row>
    <row r="523" spans="1:21" ht="16" hidden="1" thickBot="1" x14ac:dyDescent="0.4">
      <c r="A523" s="273"/>
      <c r="B523" s="284" t="s">
        <v>457</v>
      </c>
      <c r="C523" s="283"/>
      <c r="D523" s="2776" t="s">
        <v>453</v>
      </c>
      <c r="E523" s="2776" t="s">
        <v>456</v>
      </c>
      <c r="F523" s="2776" t="s">
        <v>254</v>
      </c>
      <c r="G523" s="2766" t="s">
        <v>91</v>
      </c>
      <c r="H523" s="2701">
        <v>0.71299999999999997</v>
      </c>
      <c r="I523" s="2661">
        <v>1</v>
      </c>
      <c r="J523" s="2662">
        <v>1</v>
      </c>
      <c r="K523" s="2631"/>
      <c r="L523" s="2631"/>
      <c r="M523" s="2631"/>
      <c r="N523" s="2702">
        <v>0.71299999999999997</v>
      </c>
      <c r="O523" s="2631"/>
      <c r="P523" s="2631"/>
      <c r="Q523" s="2631"/>
      <c r="R523" s="2631"/>
      <c r="S523" s="2631"/>
      <c r="T523" s="2631"/>
      <c r="U523" s="2701">
        <v>0.71299999999999997</v>
      </c>
    </row>
    <row r="524" spans="1:21" ht="32" hidden="1" thickBot="1" x14ac:dyDescent="0.4">
      <c r="A524" s="732"/>
      <c r="B524" s="752" t="s">
        <v>499</v>
      </c>
      <c r="C524" s="408"/>
      <c r="D524" s="2750" t="s">
        <v>453</v>
      </c>
      <c r="E524" s="2750" t="s">
        <v>456</v>
      </c>
      <c r="F524" s="2750" t="s">
        <v>89</v>
      </c>
      <c r="G524" s="2751"/>
      <c r="H524" s="2660">
        <f>H525</f>
        <v>660.6</v>
      </c>
      <c r="I524" s="2661"/>
      <c r="J524" s="2662"/>
      <c r="K524" s="2631"/>
      <c r="L524" s="2631"/>
      <c r="M524" s="2631"/>
      <c r="N524" s="2712">
        <f>N525</f>
        <v>660.6</v>
      </c>
      <c r="O524" s="2631"/>
      <c r="P524" s="2631"/>
      <c r="Q524" s="2631"/>
      <c r="R524" s="2631"/>
      <c r="S524" s="2631"/>
      <c r="T524" s="2631"/>
      <c r="U524" s="2660">
        <f>U525</f>
        <v>660.6</v>
      </c>
    </row>
    <row r="525" spans="1:21" ht="16" hidden="1" thickBot="1" x14ac:dyDescent="0.4">
      <c r="A525" s="732"/>
      <c r="B525" s="753" t="s">
        <v>109</v>
      </c>
      <c r="C525" s="409"/>
      <c r="D525" s="2750" t="s">
        <v>453</v>
      </c>
      <c r="E525" s="2750" t="s">
        <v>456</v>
      </c>
      <c r="F525" s="2750" t="s">
        <v>84</v>
      </c>
      <c r="G525" s="2751"/>
      <c r="H525" s="2660">
        <f>H526</f>
        <v>660.6</v>
      </c>
      <c r="I525" s="2661"/>
      <c r="J525" s="2662"/>
      <c r="K525" s="2631"/>
      <c r="L525" s="2631"/>
      <c r="M525" s="2631"/>
      <c r="N525" s="2712">
        <f>N526</f>
        <v>660.6</v>
      </c>
      <c r="O525" s="2631"/>
      <c r="P525" s="2631"/>
      <c r="Q525" s="2631"/>
      <c r="R525" s="2631"/>
      <c r="S525" s="2631"/>
      <c r="T525" s="2631"/>
      <c r="U525" s="2660">
        <f>U526</f>
        <v>660.6</v>
      </c>
    </row>
    <row r="526" spans="1:21" ht="16" hidden="1" thickBot="1" x14ac:dyDescent="0.4">
      <c r="A526" s="732"/>
      <c r="B526" s="753" t="s">
        <v>109</v>
      </c>
      <c r="C526" s="409"/>
      <c r="D526" s="2750" t="s">
        <v>453</v>
      </c>
      <c r="E526" s="2750" t="s">
        <v>456</v>
      </c>
      <c r="F526" s="2750" t="s">
        <v>82</v>
      </c>
      <c r="G526" s="2751"/>
      <c r="H526" s="2660">
        <f>H527</f>
        <v>660.6</v>
      </c>
      <c r="I526" s="2661"/>
      <c r="J526" s="2662"/>
      <c r="K526" s="2631"/>
      <c r="L526" s="2631"/>
      <c r="M526" s="2631"/>
      <c r="N526" s="2712">
        <f>N527</f>
        <v>660.6</v>
      </c>
      <c r="O526" s="2631"/>
      <c r="P526" s="2631"/>
      <c r="Q526" s="2631"/>
      <c r="R526" s="2631"/>
      <c r="S526" s="2631"/>
      <c r="T526" s="2631"/>
      <c r="U526" s="2660">
        <f>U527</f>
        <v>660.6</v>
      </c>
    </row>
    <row r="527" spans="1:21" ht="23.5" hidden="1" thickBot="1" x14ac:dyDescent="0.4">
      <c r="A527" s="732"/>
      <c r="B527" s="1894" t="s">
        <v>830</v>
      </c>
      <c r="C527" s="409"/>
      <c r="D527" s="2750" t="s">
        <v>453</v>
      </c>
      <c r="E527" s="2750" t="s">
        <v>456</v>
      </c>
      <c r="F527" s="2750" t="s">
        <v>831</v>
      </c>
      <c r="G527" s="2751"/>
      <c r="H527" s="2660">
        <f>H528</f>
        <v>660.6</v>
      </c>
      <c r="I527" s="2661"/>
      <c r="J527" s="2662"/>
      <c r="K527" s="2631"/>
      <c r="L527" s="2631"/>
      <c r="M527" s="2631"/>
      <c r="N527" s="2712">
        <f>N528</f>
        <v>660.6</v>
      </c>
      <c r="O527" s="2631"/>
      <c r="P527" s="2631"/>
      <c r="Q527" s="2631"/>
      <c r="R527" s="2631"/>
      <c r="S527" s="2631"/>
      <c r="T527" s="2631"/>
      <c r="U527" s="2660">
        <f>U528</f>
        <v>660.6</v>
      </c>
    </row>
    <row r="528" spans="1:21" ht="16" hidden="1" thickBot="1" x14ac:dyDescent="0.4">
      <c r="A528" s="732"/>
      <c r="B528" s="754" t="s">
        <v>256</v>
      </c>
      <c r="C528" s="409"/>
      <c r="D528" s="2750" t="s">
        <v>453</v>
      </c>
      <c r="E528" s="2750" t="s">
        <v>456</v>
      </c>
      <c r="F528" s="2750" t="s">
        <v>831</v>
      </c>
      <c r="G528" s="2751" t="s">
        <v>255</v>
      </c>
      <c r="H528" s="2660">
        <v>660.6</v>
      </c>
      <c r="I528" s="2661"/>
      <c r="J528" s="2662"/>
      <c r="K528" s="2631"/>
      <c r="L528" s="2631"/>
      <c r="M528" s="2631"/>
      <c r="N528" s="2712">
        <v>660.6</v>
      </c>
      <c r="O528" s="2631"/>
      <c r="P528" s="2631"/>
      <c r="Q528" s="2631"/>
      <c r="R528" s="2631"/>
      <c r="S528" s="2631"/>
      <c r="T528" s="2631"/>
      <c r="U528" s="2660">
        <v>660.6</v>
      </c>
    </row>
    <row r="529" spans="1:21" ht="16" hidden="1" thickBot="1" x14ac:dyDescent="0.4">
      <c r="A529" s="751"/>
      <c r="B529" s="282" t="s">
        <v>244</v>
      </c>
      <c r="C529" s="279"/>
      <c r="D529" s="2776" t="s">
        <v>453</v>
      </c>
      <c r="E529" s="2776" t="s">
        <v>452</v>
      </c>
      <c r="F529" s="2776"/>
      <c r="G529" s="2766"/>
      <c r="H529" s="2701">
        <f t="shared" ref="H529:J530" si="124">H530</f>
        <v>5263.9850000000006</v>
      </c>
      <c r="I529" s="2661">
        <f t="shared" si="124"/>
        <v>1250.5</v>
      </c>
      <c r="J529" s="2662">
        <f t="shared" si="124"/>
        <v>1348</v>
      </c>
      <c r="K529" s="2631"/>
      <c r="L529" s="2631"/>
      <c r="M529" s="2631"/>
      <c r="N529" s="2702">
        <f t="shared" ref="N529:N530" si="125">N530</f>
        <v>5421.5709999999999</v>
      </c>
      <c r="O529" s="2631"/>
      <c r="P529" s="2631"/>
      <c r="Q529" s="2631"/>
      <c r="R529" s="2631"/>
      <c r="S529" s="2631"/>
      <c r="T529" s="2631"/>
      <c r="U529" s="2701">
        <f t="shared" ref="U529:U530" si="126">U530</f>
        <v>5586.2330000000002</v>
      </c>
    </row>
    <row r="530" spans="1:21" ht="32" hidden="1" thickBot="1" x14ac:dyDescent="0.4">
      <c r="A530" s="281"/>
      <c r="B530" s="307" t="s">
        <v>621</v>
      </c>
      <c r="C530" s="279"/>
      <c r="D530" s="2776" t="s">
        <v>453</v>
      </c>
      <c r="E530" s="2776" t="s">
        <v>452</v>
      </c>
      <c r="F530" s="2776" t="s">
        <v>273</v>
      </c>
      <c r="G530" s="2766"/>
      <c r="H530" s="2701">
        <f t="shared" si="124"/>
        <v>5263.9850000000006</v>
      </c>
      <c r="I530" s="2661">
        <f t="shared" si="124"/>
        <v>1250.5</v>
      </c>
      <c r="J530" s="2662">
        <f t="shared" si="124"/>
        <v>1348</v>
      </c>
      <c r="K530" s="2631"/>
      <c r="L530" s="2631"/>
      <c r="M530" s="2631"/>
      <c r="N530" s="2702">
        <f t="shared" si="125"/>
        <v>5421.5709999999999</v>
      </c>
      <c r="O530" s="2631"/>
      <c r="P530" s="2631"/>
      <c r="Q530" s="2631"/>
      <c r="R530" s="2631"/>
      <c r="S530" s="2631"/>
      <c r="T530" s="2631"/>
      <c r="U530" s="2701">
        <f t="shared" si="126"/>
        <v>5586.2330000000002</v>
      </c>
    </row>
    <row r="531" spans="1:21" ht="20.5" hidden="1" thickBot="1" x14ac:dyDescent="0.4">
      <c r="A531" s="273"/>
      <c r="B531" s="310" t="s">
        <v>836</v>
      </c>
      <c r="C531" s="272"/>
      <c r="D531" s="2776" t="s">
        <v>453</v>
      </c>
      <c r="E531" s="2776" t="s">
        <v>452</v>
      </c>
      <c r="F531" s="2776" t="s">
        <v>251</v>
      </c>
      <c r="G531" s="2766"/>
      <c r="H531" s="2701">
        <f>H532+H535</f>
        <v>5263.9850000000006</v>
      </c>
      <c r="I531" s="2661">
        <f>I532+I535</f>
        <v>1250.5</v>
      </c>
      <c r="J531" s="2662">
        <f>J532+J535</f>
        <v>1348</v>
      </c>
      <c r="K531" s="2631"/>
      <c r="L531" s="2631"/>
      <c r="M531" s="2631"/>
      <c r="N531" s="2702">
        <f>N532+N535</f>
        <v>5421.5709999999999</v>
      </c>
      <c r="O531" s="2631"/>
      <c r="P531" s="2631"/>
      <c r="Q531" s="2631"/>
      <c r="R531" s="2631"/>
      <c r="S531" s="2631"/>
      <c r="T531" s="2631"/>
      <c r="U531" s="2701">
        <f>U532+U535</f>
        <v>5586.2330000000002</v>
      </c>
    </row>
    <row r="532" spans="1:21" ht="16" hidden="1" thickBot="1" x14ac:dyDescent="0.4">
      <c r="A532" s="273"/>
      <c r="B532" s="274" t="s">
        <v>250</v>
      </c>
      <c r="C532" s="272"/>
      <c r="D532" s="2776" t="s">
        <v>453</v>
      </c>
      <c r="E532" s="2776" t="s">
        <v>452</v>
      </c>
      <c r="F532" s="2776" t="s">
        <v>249</v>
      </c>
      <c r="G532" s="2766"/>
      <c r="H532" s="2701">
        <f t="shared" ref="H532:J533" si="127">H533</f>
        <v>1650.46</v>
      </c>
      <c r="I532" s="2661">
        <f t="shared" si="127"/>
        <v>1250.5</v>
      </c>
      <c r="J532" s="2662">
        <f t="shared" si="127"/>
        <v>1348</v>
      </c>
      <c r="K532" s="2631"/>
      <c r="L532" s="2631"/>
      <c r="M532" s="2631"/>
      <c r="N532" s="2702">
        <f t="shared" ref="N532:N533" si="128">N533</f>
        <v>1650.46</v>
      </c>
      <c r="O532" s="2631"/>
      <c r="P532" s="2631"/>
      <c r="Q532" s="2631"/>
      <c r="R532" s="2631"/>
      <c r="S532" s="2631"/>
      <c r="T532" s="2631"/>
      <c r="U532" s="2701">
        <f t="shared" ref="U532:U533" si="129">U533</f>
        <v>1650.46</v>
      </c>
    </row>
    <row r="533" spans="1:21" ht="16" hidden="1" thickBot="1" x14ac:dyDescent="0.4">
      <c r="A533" s="273"/>
      <c r="B533" s="90" t="s">
        <v>248</v>
      </c>
      <c r="C533" s="272"/>
      <c r="D533" s="2776" t="s">
        <v>453</v>
      </c>
      <c r="E533" s="2776" t="s">
        <v>452</v>
      </c>
      <c r="F533" s="2776" t="s">
        <v>243</v>
      </c>
      <c r="G533" s="2766"/>
      <c r="H533" s="2701">
        <f t="shared" si="127"/>
        <v>1650.46</v>
      </c>
      <c r="I533" s="2661">
        <f t="shared" si="127"/>
        <v>1250.5</v>
      </c>
      <c r="J533" s="2662">
        <f t="shared" si="127"/>
        <v>1348</v>
      </c>
      <c r="K533" s="2631"/>
      <c r="L533" s="2631"/>
      <c r="M533" s="2631"/>
      <c r="N533" s="2702">
        <f t="shared" si="128"/>
        <v>1650.46</v>
      </c>
      <c r="O533" s="2631"/>
      <c r="P533" s="2631"/>
      <c r="Q533" s="2631"/>
      <c r="R533" s="2631"/>
      <c r="S533" s="2631"/>
      <c r="T533" s="2631"/>
      <c r="U533" s="2701">
        <f t="shared" si="129"/>
        <v>1650.46</v>
      </c>
    </row>
    <row r="534" spans="1:21" ht="20.5" hidden="1" thickBot="1" x14ac:dyDescent="0.4">
      <c r="A534" s="2170"/>
      <c r="B534" s="303" t="s">
        <v>454</v>
      </c>
      <c r="C534" s="302"/>
      <c r="D534" s="2777" t="s">
        <v>453</v>
      </c>
      <c r="E534" s="2777" t="s">
        <v>452</v>
      </c>
      <c r="F534" s="2777" t="s">
        <v>243</v>
      </c>
      <c r="G534" s="2778" t="s">
        <v>1</v>
      </c>
      <c r="H534" s="2703">
        <v>1650.46</v>
      </c>
      <c r="I534" s="2629">
        <v>1250.5</v>
      </c>
      <c r="J534" s="2704">
        <v>1348</v>
      </c>
      <c r="K534" s="2631"/>
      <c r="L534" s="2631"/>
      <c r="M534" s="2631"/>
      <c r="N534" s="2705">
        <v>1650.46</v>
      </c>
      <c r="O534" s="2631"/>
      <c r="P534" s="2631"/>
      <c r="Q534" s="2631"/>
      <c r="R534" s="2631"/>
      <c r="S534" s="2631"/>
      <c r="T534" s="2631"/>
      <c r="U534" s="2703">
        <v>1650.46</v>
      </c>
    </row>
    <row r="535" spans="1:21" ht="35" thickBot="1" x14ac:dyDescent="0.4">
      <c r="A535" s="1168">
        <v>2</v>
      </c>
      <c r="B535" s="1171" t="s">
        <v>1038</v>
      </c>
      <c r="C535" s="1161" t="s">
        <v>1039</v>
      </c>
      <c r="D535" s="2744"/>
      <c r="E535" s="2744"/>
      <c r="F535" s="2744"/>
      <c r="G535" s="2745"/>
      <c r="H535" s="2622">
        <f>H536</f>
        <v>3613.5250000000001</v>
      </c>
      <c r="I535" s="2633">
        <f>I536+I606+I632+I681+I755+I766+I805+I820+I598</f>
        <v>0</v>
      </c>
      <c r="J535" s="2635">
        <f>J536+J606+J632+J681+J755+J766+J805+J820+J598</f>
        <v>0</v>
      </c>
      <c r="K535" s="2713"/>
      <c r="L535" s="2713"/>
      <c r="M535" s="2713"/>
      <c r="N535" s="2626">
        <f>N536</f>
        <v>3771.1109999999999</v>
      </c>
      <c r="O535" s="2713"/>
      <c r="P535" s="2713"/>
      <c r="Q535" s="2713"/>
      <c r="R535" s="2713"/>
      <c r="S535" s="2713"/>
      <c r="T535" s="2713"/>
      <c r="U535" s="2622">
        <f>U536</f>
        <v>3935.7730000000001</v>
      </c>
    </row>
    <row r="536" spans="1:21" x14ac:dyDescent="0.35">
      <c r="A536" s="145"/>
      <c r="B536" s="1173" t="s">
        <v>431</v>
      </c>
      <c r="C536" s="1174"/>
      <c r="D536" s="2748" t="s">
        <v>456</v>
      </c>
      <c r="E536" s="2748" t="s">
        <v>459</v>
      </c>
      <c r="F536" s="2748"/>
      <c r="G536" s="2749"/>
      <c r="H536" s="2636">
        <f>H543+H550</f>
        <v>3613.5250000000001</v>
      </c>
      <c r="I536" s="2637">
        <f>I537+I550+I568</f>
        <v>0</v>
      </c>
      <c r="J536" s="2638">
        <f>J537+J550+J568</f>
        <v>0</v>
      </c>
      <c r="K536" s="2639">
        <f>K549+K556+K558+K562+K575+K576+K577+K579+K581+K587+K593+K605+K609+K610+K611+K612</f>
        <v>5</v>
      </c>
      <c r="L536" s="2631"/>
      <c r="M536" s="2631"/>
      <c r="N536" s="2640">
        <f>N543+N550</f>
        <v>3771.1109999999999</v>
      </c>
      <c r="O536" s="2631"/>
      <c r="P536" s="2631"/>
      <c r="Q536" s="2631"/>
      <c r="R536" s="2631"/>
      <c r="S536" s="2631"/>
      <c r="T536" s="2631"/>
      <c r="U536" s="2636">
        <f>U543+U550</f>
        <v>3935.7730000000001</v>
      </c>
    </row>
    <row r="537" spans="1:21" ht="21" hidden="1" x14ac:dyDescent="0.35">
      <c r="A537" s="32"/>
      <c r="B537" s="752" t="s">
        <v>600</v>
      </c>
      <c r="C537" s="1177"/>
      <c r="D537" s="2750" t="s">
        <v>456</v>
      </c>
      <c r="E537" s="2750" t="s">
        <v>488</v>
      </c>
      <c r="F537" s="2750"/>
      <c r="G537" s="2751"/>
      <c r="H537" s="2641"/>
      <c r="I537" s="2642">
        <f t="shared" ref="I537:J541" si="130">I538</f>
        <v>0</v>
      </c>
      <c r="J537" s="2643">
        <f t="shared" si="130"/>
        <v>0</v>
      </c>
      <c r="K537" s="2631"/>
      <c r="L537" s="2631"/>
      <c r="M537" s="2631"/>
      <c r="N537" s="2644"/>
      <c r="O537" s="2631"/>
      <c r="P537" s="2631"/>
      <c r="Q537" s="2631"/>
      <c r="R537" s="2631"/>
      <c r="S537" s="2631"/>
      <c r="T537" s="2631"/>
      <c r="U537" s="2641"/>
    </row>
    <row r="538" spans="1:21" ht="21" hidden="1" x14ac:dyDescent="0.35">
      <c r="A538" s="32"/>
      <c r="B538" s="753" t="s">
        <v>599</v>
      </c>
      <c r="C538" s="1180"/>
      <c r="D538" s="2750" t="s">
        <v>456</v>
      </c>
      <c r="E538" s="2750" t="s">
        <v>488</v>
      </c>
      <c r="F538" s="2750" t="s">
        <v>157</v>
      </c>
      <c r="G538" s="2751"/>
      <c r="H538" s="2641"/>
      <c r="I538" s="2642">
        <f t="shared" si="130"/>
        <v>0</v>
      </c>
      <c r="J538" s="2643">
        <f t="shared" si="130"/>
        <v>0</v>
      </c>
      <c r="K538" s="2631"/>
      <c r="L538" s="2631"/>
      <c r="M538" s="2631"/>
      <c r="N538" s="2644"/>
      <c r="O538" s="2631"/>
      <c r="P538" s="2631"/>
      <c r="Q538" s="2631"/>
      <c r="R538" s="2631"/>
      <c r="S538" s="2631"/>
      <c r="T538" s="2631"/>
      <c r="U538" s="2641"/>
    </row>
    <row r="539" spans="1:21" ht="21" hidden="1" x14ac:dyDescent="0.35">
      <c r="A539" s="32"/>
      <c r="B539" s="753" t="s">
        <v>596</v>
      </c>
      <c r="C539" s="1180"/>
      <c r="D539" s="2750" t="s">
        <v>456</v>
      </c>
      <c r="E539" s="2750" t="s">
        <v>488</v>
      </c>
      <c r="F539" s="2750" t="s">
        <v>598</v>
      </c>
      <c r="G539" s="2751"/>
      <c r="H539" s="2641"/>
      <c r="I539" s="2642">
        <f t="shared" si="130"/>
        <v>0</v>
      </c>
      <c r="J539" s="2643">
        <f t="shared" si="130"/>
        <v>0</v>
      </c>
      <c r="K539" s="2631"/>
      <c r="L539" s="2631"/>
      <c r="M539" s="2631"/>
      <c r="N539" s="2644"/>
      <c r="O539" s="2631"/>
      <c r="P539" s="2631"/>
      <c r="Q539" s="2631"/>
      <c r="R539" s="2631"/>
      <c r="S539" s="2631"/>
      <c r="T539" s="2631"/>
      <c r="U539" s="2641"/>
    </row>
    <row r="540" spans="1:21" hidden="1" x14ac:dyDescent="0.35">
      <c r="A540" s="32"/>
      <c r="B540" s="753" t="s">
        <v>582</v>
      </c>
      <c r="C540" s="1180"/>
      <c r="D540" s="2750" t="s">
        <v>595</v>
      </c>
      <c r="E540" s="2750" t="s">
        <v>594</v>
      </c>
      <c r="F540" s="2750" t="s">
        <v>597</v>
      </c>
      <c r="G540" s="2751"/>
      <c r="H540" s="2641"/>
      <c r="I540" s="2642">
        <f t="shared" si="130"/>
        <v>0</v>
      </c>
      <c r="J540" s="2643">
        <f t="shared" si="130"/>
        <v>0</v>
      </c>
      <c r="K540" s="2631"/>
      <c r="L540" s="2631"/>
      <c r="M540" s="2631"/>
      <c r="N540" s="2644"/>
      <c r="O540" s="2631"/>
      <c r="P540" s="2631"/>
      <c r="Q540" s="2631"/>
      <c r="R540" s="2631"/>
      <c r="S540" s="2631"/>
      <c r="T540" s="2631"/>
      <c r="U540" s="2641"/>
    </row>
    <row r="541" spans="1:21" ht="21" hidden="1" x14ac:dyDescent="0.35">
      <c r="A541" s="32"/>
      <c r="B541" s="753" t="s">
        <v>596</v>
      </c>
      <c r="C541" s="1180"/>
      <c r="D541" s="2750" t="s">
        <v>595</v>
      </c>
      <c r="E541" s="2750" t="s">
        <v>594</v>
      </c>
      <c r="F541" s="2750" t="s">
        <v>593</v>
      </c>
      <c r="G541" s="2751"/>
      <c r="H541" s="2641"/>
      <c r="I541" s="2642">
        <f t="shared" si="130"/>
        <v>0</v>
      </c>
      <c r="J541" s="2643">
        <f t="shared" si="130"/>
        <v>0</v>
      </c>
      <c r="K541" s="2631"/>
      <c r="L541" s="2631"/>
      <c r="M541" s="2631"/>
      <c r="N541" s="2644"/>
      <c r="O541" s="2631"/>
      <c r="P541" s="2631"/>
      <c r="Q541" s="2631"/>
      <c r="R541" s="2631"/>
      <c r="S541" s="2631"/>
      <c r="T541" s="2631"/>
      <c r="U541" s="2641"/>
    </row>
    <row r="542" spans="1:21" ht="21" hidden="1" x14ac:dyDescent="0.35">
      <c r="A542" s="32"/>
      <c r="B542" s="1182" t="s">
        <v>571</v>
      </c>
      <c r="C542" s="1183"/>
      <c r="D542" s="2750" t="s">
        <v>456</v>
      </c>
      <c r="E542" s="2750" t="s">
        <v>488</v>
      </c>
      <c r="F542" s="2750" t="s">
        <v>593</v>
      </c>
      <c r="G542" s="2751" t="s">
        <v>5</v>
      </c>
      <c r="H542" s="2641"/>
      <c r="I542" s="2642"/>
      <c r="J542" s="2643"/>
      <c r="K542" s="2631"/>
      <c r="L542" s="2631"/>
      <c r="M542" s="2631"/>
      <c r="N542" s="2644"/>
      <c r="O542" s="2631"/>
      <c r="P542" s="2631"/>
      <c r="Q542" s="2631"/>
      <c r="R542" s="2631"/>
      <c r="S542" s="2631"/>
      <c r="T542" s="2631"/>
      <c r="U542" s="2641"/>
    </row>
    <row r="543" spans="1:21" ht="23" x14ac:dyDescent="0.35">
      <c r="A543" s="32"/>
      <c r="B543" s="1184" t="s">
        <v>600</v>
      </c>
      <c r="C543" s="1183"/>
      <c r="D543" s="2750" t="s">
        <v>456</v>
      </c>
      <c r="E543" s="2750" t="s">
        <v>488</v>
      </c>
      <c r="F543" s="2750"/>
      <c r="G543" s="2751"/>
      <c r="H543" s="2641">
        <f>H544</f>
        <v>1856.6469999999999</v>
      </c>
      <c r="I543" s="2642"/>
      <c r="J543" s="2643"/>
      <c r="K543" s="2631">
        <f>K549+K556+K558+K562</f>
        <v>5</v>
      </c>
      <c r="L543" s="2631">
        <f>K543-3579.885</f>
        <v>-3574.8850000000002</v>
      </c>
      <c r="M543" s="2631"/>
      <c r="N543" s="2644">
        <f>N544</f>
        <v>1930.921</v>
      </c>
      <c r="O543" s="2631"/>
      <c r="P543" s="2631"/>
      <c r="Q543" s="2631"/>
      <c r="R543" s="2631"/>
      <c r="S543" s="2631"/>
      <c r="T543" s="2631"/>
      <c r="U543" s="2641">
        <f>U544</f>
        <v>2008.1569999999999</v>
      </c>
    </row>
    <row r="544" spans="1:21" ht="31.5" x14ac:dyDescent="0.35">
      <c r="A544" s="32"/>
      <c r="B544" s="753" t="s">
        <v>866</v>
      </c>
      <c r="C544" s="1183"/>
      <c r="D544" s="2750" t="s">
        <v>456</v>
      </c>
      <c r="E544" s="2750" t="s">
        <v>488</v>
      </c>
      <c r="F544" s="2750" t="s">
        <v>157</v>
      </c>
      <c r="G544" s="2751"/>
      <c r="H544" s="2641">
        <f>H545</f>
        <v>1856.6469999999999</v>
      </c>
      <c r="I544" s="2642"/>
      <c r="J544" s="2643"/>
      <c r="K544" s="2631"/>
      <c r="L544" s="2631"/>
      <c r="M544" s="2631"/>
      <c r="N544" s="2644">
        <f>N545</f>
        <v>1930.921</v>
      </c>
      <c r="O544" s="2631"/>
      <c r="P544" s="2631"/>
      <c r="Q544" s="2631"/>
      <c r="R544" s="2631"/>
      <c r="S544" s="2631"/>
      <c r="T544" s="2631"/>
      <c r="U544" s="2641">
        <f>U545</f>
        <v>2008.1569999999999</v>
      </c>
    </row>
    <row r="545" spans="1:21" ht="21" x14ac:dyDescent="0.35">
      <c r="A545" s="32"/>
      <c r="B545" s="753" t="s">
        <v>867</v>
      </c>
      <c r="C545" s="1183"/>
      <c r="D545" s="2750" t="s">
        <v>456</v>
      </c>
      <c r="E545" s="2750" t="s">
        <v>488</v>
      </c>
      <c r="F545" s="2750" t="s">
        <v>598</v>
      </c>
      <c r="G545" s="2751"/>
      <c r="H545" s="2641">
        <f>H546</f>
        <v>1856.6469999999999</v>
      </c>
      <c r="I545" s="2642"/>
      <c r="J545" s="2643"/>
      <c r="K545" s="2631"/>
      <c r="L545" s="2631"/>
      <c r="M545" s="2631"/>
      <c r="N545" s="2644">
        <f>N546</f>
        <v>1930.921</v>
      </c>
      <c r="O545" s="2631"/>
      <c r="P545" s="2631"/>
      <c r="Q545" s="2631"/>
      <c r="R545" s="2631"/>
      <c r="S545" s="2631"/>
      <c r="T545" s="2631"/>
      <c r="U545" s="2641">
        <f>U546</f>
        <v>2008.1569999999999</v>
      </c>
    </row>
    <row r="546" spans="1:21" x14ac:dyDescent="0.35">
      <c r="A546" s="32"/>
      <c r="B546" s="753" t="s">
        <v>582</v>
      </c>
      <c r="C546" s="1183"/>
      <c r="D546" s="2750" t="s">
        <v>456</v>
      </c>
      <c r="E546" s="2750" t="s">
        <v>488</v>
      </c>
      <c r="F546" s="2750" t="s">
        <v>597</v>
      </c>
      <c r="G546" s="2751"/>
      <c r="H546" s="2641">
        <f>H547</f>
        <v>1856.6469999999999</v>
      </c>
      <c r="I546" s="2642"/>
      <c r="J546" s="2643"/>
      <c r="K546" s="2631"/>
      <c r="L546" s="2631"/>
      <c r="M546" s="2631"/>
      <c r="N546" s="2644">
        <f>N547</f>
        <v>1930.921</v>
      </c>
      <c r="O546" s="2631"/>
      <c r="P546" s="2631"/>
      <c r="Q546" s="2631"/>
      <c r="R546" s="2631"/>
      <c r="S546" s="2631"/>
      <c r="T546" s="2631"/>
      <c r="U546" s="2641">
        <f>U547</f>
        <v>2008.1569999999999</v>
      </c>
    </row>
    <row r="547" spans="1:21" ht="21" x14ac:dyDescent="0.35">
      <c r="A547" s="32"/>
      <c r="B547" s="753" t="s">
        <v>867</v>
      </c>
      <c r="C547" s="1183"/>
      <c r="D547" s="2750" t="s">
        <v>456</v>
      </c>
      <c r="E547" s="2750" t="s">
        <v>488</v>
      </c>
      <c r="F547" s="2750" t="s">
        <v>593</v>
      </c>
      <c r="G547" s="2751"/>
      <c r="H547" s="2641">
        <f>H549</f>
        <v>1856.6469999999999</v>
      </c>
      <c r="I547" s="2642"/>
      <c r="J547" s="2643"/>
      <c r="K547" s="2631"/>
      <c r="L547" s="2631"/>
      <c r="M547" s="2631"/>
      <c r="N547" s="2644">
        <v>1930.921</v>
      </c>
      <c r="O547" s="2631"/>
      <c r="P547" s="2631"/>
      <c r="Q547" s="2631"/>
      <c r="R547" s="2631"/>
      <c r="S547" s="2631"/>
      <c r="T547" s="2631"/>
      <c r="U547" s="2641">
        <v>2008.1569999999999</v>
      </c>
    </row>
    <row r="548" spans="1:21" ht="52" x14ac:dyDescent="0.35">
      <c r="A548" s="32"/>
      <c r="B548" s="49" t="s">
        <v>1063</v>
      </c>
      <c r="C548" s="1183"/>
      <c r="D548" s="2750" t="s">
        <v>456</v>
      </c>
      <c r="E548" s="2750" t="s">
        <v>488</v>
      </c>
      <c r="F548" s="2750" t="s">
        <v>593</v>
      </c>
      <c r="G548" s="2751" t="s">
        <v>1062</v>
      </c>
      <c r="H548" s="2641">
        <v>1856.6469999999999</v>
      </c>
      <c r="I548" s="2642">
        <f t="shared" ref="I548:U548" si="131">I549</f>
        <v>0</v>
      </c>
      <c r="J548" s="2643">
        <f t="shared" si="131"/>
        <v>0</v>
      </c>
      <c r="K548" s="2631">
        <f t="shared" si="131"/>
        <v>0</v>
      </c>
      <c r="L548" s="2631">
        <f t="shared" si="131"/>
        <v>0</v>
      </c>
      <c r="M548" s="2631">
        <f t="shared" si="131"/>
        <v>0</v>
      </c>
      <c r="N548" s="2644">
        <f t="shared" si="131"/>
        <v>1930.921</v>
      </c>
      <c r="O548" s="2631">
        <f t="shared" si="131"/>
        <v>0</v>
      </c>
      <c r="P548" s="2631">
        <f t="shared" si="131"/>
        <v>0</v>
      </c>
      <c r="Q548" s="2631">
        <f t="shared" si="131"/>
        <v>0</v>
      </c>
      <c r="R548" s="2631">
        <f t="shared" si="131"/>
        <v>0</v>
      </c>
      <c r="S548" s="2631">
        <f t="shared" si="131"/>
        <v>0</v>
      </c>
      <c r="T548" s="2631">
        <f t="shared" si="131"/>
        <v>0</v>
      </c>
      <c r="U548" s="2641">
        <f t="shared" si="131"/>
        <v>2008.1569999999999</v>
      </c>
    </row>
    <row r="549" spans="1:21" ht="21" x14ac:dyDescent="0.35">
      <c r="A549" s="32"/>
      <c r="B549" s="1185" t="s">
        <v>571</v>
      </c>
      <c r="C549" s="1183"/>
      <c r="D549" s="2750" t="s">
        <v>456</v>
      </c>
      <c r="E549" s="2750" t="s">
        <v>488</v>
      </c>
      <c r="F549" s="2750" t="s">
        <v>593</v>
      </c>
      <c r="G549" s="2751" t="s">
        <v>5</v>
      </c>
      <c r="H549" s="2641">
        <v>1856.6469999999999</v>
      </c>
      <c r="I549" s="2642"/>
      <c r="J549" s="2643"/>
      <c r="K549" s="2631"/>
      <c r="L549" s="2631"/>
      <c r="M549" s="2631"/>
      <c r="N549" s="2644">
        <v>1930.921</v>
      </c>
      <c r="O549" s="2631"/>
      <c r="P549" s="2631"/>
      <c r="Q549" s="2631"/>
      <c r="R549" s="2631"/>
      <c r="S549" s="2631"/>
      <c r="T549" s="2631"/>
      <c r="U549" s="2641">
        <v>2008.1569999999999</v>
      </c>
    </row>
    <row r="550" spans="1:21" ht="34.5" x14ac:dyDescent="0.35">
      <c r="A550" s="32"/>
      <c r="B550" s="1184" t="s">
        <v>592</v>
      </c>
      <c r="C550" s="1177"/>
      <c r="D550" s="2750" t="s">
        <v>456</v>
      </c>
      <c r="E550" s="2750" t="s">
        <v>495</v>
      </c>
      <c r="F550" s="2750"/>
      <c r="G550" s="2751"/>
      <c r="H550" s="2641">
        <f>H551</f>
        <v>1756.8780000000002</v>
      </c>
      <c r="I550" s="2642">
        <f>I551</f>
        <v>0</v>
      </c>
      <c r="J550" s="2643">
        <f>J551</f>
        <v>0</v>
      </c>
      <c r="K550" s="2631"/>
      <c r="L550" s="2631"/>
      <c r="M550" s="2631"/>
      <c r="N550" s="2644">
        <f>N551</f>
        <v>1840.19</v>
      </c>
      <c r="O550" s="2631"/>
      <c r="P550" s="2631"/>
      <c r="Q550" s="2631"/>
      <c r="R550" s="2631"/>
      <c r="S550" s="2631"/>
      <c r="T550" s="2631"/>
      <c r="U550" s="2641">
        <f>U551</f>
        <v>1927.616</v>
      </c>
    </row>
    <row r="551" spans="1:21" ht="31.5" x14ac:dyDescent="0.35">
      <c r="A551" s="32"/>
      <c r="B551" s="753" t="s">
        <v>588</v>
      </c>
      <c r="C551" s="1180"/>
      <c r="D551" s="2750" t="s">
        <v>456</v>
      </c>
      <c r="E551" s="2750" t="s">
        <v>495</v>
      </c>
      <c r="F551" s="2750" t="s">
        <v>157</v>
      </c>
      <c r="G551" s="2751"/>
      <c r="H551" s="2641">
        <f>H552</f>
        <v>1756.8780000000002</v>
      </c>
      <c r="I551" s="2642">
        <f>I552+I564</f>
        <v>0</v>
      </c>
      <c r="J551" s="2643">
        <f>J552+J564</f>
        <v>0</v>
      </c>
      <c r="K551" s="2631"/>
      <c r="L551" s="2631"/>
      <c r="M551" s="2631"/>
      <c r="N551" s="2644">
        <f t="shared" ref="N551:U551" si="132">N552</f>
        <v>1840.19</v>
      </c>
      <c r="O551" s="2631">
        <f t="shared" si="132"/>
        <v>0</v>
      </c>
      <c r="P551" s="2631">
        <f t="shared" si="132"/>
        <v>0</v>
      </c>
      <c r="Q551" s="2631">
        <f t="shared" si="132"/>
        <v>0</v>
      </c>
      <c r="R551" s="2631">
        <f t="shared" si="132"/>
        <v>0</v>
      </c>
      <c r="S551" s="2631">
        <f t="shared" si="132"/>
        <v>0</v>
      </c>
      <c r="T551" s="2631">
        <f t="shared" si="132"/>
        <v>0</v>
      </c>
      <c r="U551" s="2641">
        <f t="shared" si="132"/>
        <v>1927.616</v>
      </c>
    </row>
    <row r="552" spans="1:21" ht="31.5" x14ac:dyDescent="0.35">
      <c r="A552" s="32"/>
      <c r="B552" s="753" t="s">
        <v>591</v>
      </c>
      <c r="C552" s="1180"/>
      <c r="D552" s="2750" t="s">
        <v>456</v>
      </c>
      <c r="E552" s="2750" t="s">
        <v>495</v>
      </c>
      <c r="F552" s="2750" t="s">
        <v>155</v>
      </c>
      <c r="G552" s="2751"/>
      <c r="H552" s="2641">
        <f t="shared" ref="H552:J553" si="133">H553</f>
        <v>1756.8780000000002</v>
      </c>
      <c r="I552" s="2642">
        <f t="shared" si="133"/>
        <v>0</v>
      </c>
      <c r="J552" s="2643">
        <f t="shared" si="133"/>
        <v>0</v>
      </c>
      <c r="K552" s="2631"/>
      <c r="L552" s="2631"/>
      <c r="M552" s="2631"/>
      <c r="N552" s="2644">
        <f t="shared" ref="N552:N553" si="134">N553</f>
        <v>1840.19</v>
      </c>
      <c r="O552" s="2631"/>
      <c r="P552" s="2631"/>
      <c r="Q552" s="2631"/>
      <c r="R552" s="2631"/>
      <c r="S552" s="2631"/>
      <c r="T552" s="2631"/>
      <c r="U552" s="2641">
        <f t="shared" ref="U552:U553" si="135">U553</f>
        <v>1927.616</v>
      </c>
    </row>
    <row r="553" spans="1:21" x14ac:dyDescent="0.35">
      <c r="A553" s="32"/>
      <c r="B553" s="753" t="s">
        <v>582</v>
      </c>
      <c r="C553" s="1180"/>
      <c r="D553" s="2750" t="s">
        <v>456</v>
      </c>
      <c r="E553" s="2750" t="s">
        <v>495</v>
      </c>
      <c r="F553" s="2750" t="s">
        <v>154</v>
      </c>
      <c r="G553" s="2751"/>
      <c r="H553" s="2641">
        <f t="shared" si="133"/>
        <v>1756.8780000000002</v>
      </c>
      <c r="I553" s="2642">
        <f t="shared" si="133"/>
        <v>0</v>
      </c>
      <c r="J553" s="2643">
        <f t="shared" si="133"/>
        <v>0</v>
      </c>
      <c r="K553" s="2631"/>
      <c r="L553" s="2631"/>
      <c r="M553" s="2631"/>
      <c r="N553" s="2644">
        <f t="shared" si="134"/>
        <v>1840.19</v>
      </c>
      <c r="O553" s="2631"/>
      <c r="P553" s="2631"/>
      <c r="Q553" s="2631"/>
      <c r="R553" s="2631"/>
      <c r="S553" s="2631"/>
      <c r="T553" s="2631"/>
      <c r="U553" s="2641">
        <f t="shared" si="135"/>
        <v>1927.616</v>
      </c>
    </row>
    <row r="554" spans="1:21" x14ac:dyDescent="0.35">
      <c r="A554" s="32"/>
      <c r="B554" s="753" t="s">
        <v>153</v>
      </c>
      <c r="C554" s="1180"/>
      <c r="D554" s="2750" t="s">
        <v>456</v>
      </c>
      <c r="E554" s="2750" t="s">
        <v>495</v>
      </c>
      <c r="F554" s="2750" t="s">
        <v>152</v>
      </c>
      <c r="G554" s="2751"/>
      <c r="H554" s="2641">
        <f>H555+H557+H560</f>
        <v>1756.8780000000002</v>
      </c>
      <c r="I554" s="2642">
        <f>I556+I558</f>
        <v>0</v>
      </c>
      <c r="J554" s="2643">
        <f>J556+J558</f>
        <v>0</v>
      </c>
      <c r="K554" s="2631"/>
      <c r="L554" s="2631"/>
      <c r="M554" s="2631"/>
      <c r="N554" s="2644">
        <f>N556+N558+N562</f>
        <v>1840.19</v>
      </c>
      <c r="O554" s="2631"/>
      <c r="P554" s="2631"/>
      <c r="Q554" s="2631"/>
      <c r="R554" s="2631"/>
      <c r="S554" s="2631"/>
      <c r="T554" s="2631"/>
      <c r="U554" s="2641">
        <f>U556+U558+U562</f>
        <v>1927.616</v>
      </c>
    </row>
    <row r="555" spans="1:21" ht="52" x14ac:dyDescent="0.35">
      <c r="A555" s="32"/>
      <c r="B555" s="49" t="s">
        <v>1063</v>
      </c>
      <c r="C555" s="1180"/>
      <c r="D555" s="2750" t="s">
        <v>456</v>
      </c>
      <c r="E555" s="2750" t="s">
        <v>495</v>
      </c>
      <c r="F555" s="2750" t="s">
        <v>152</v>
      </c>
      <c r="G555" s="2751" t="s">
        <v>1062</v>
      </c>
      <c r="H555" s="2641">
        <f t="shared" ref="H555:U555" si="136">H556</f>
        <v>1105.028</v>
      </c>
      <c r="I555" s="2642">
        <f t="shared" si="136"/>
        <v>0</v>
      </c>
      <c r="J555" s="2649">
        <f t="shared" si="136"/>
        <v>0</v>
      </c>
      <c r="K555" s="2631">
        <f t="shared" si="136"/>
        <v>0</v>
      </c>
      <c r="L555" s="2631">
        <f t="shared" si="136"/>
        <v>0</v>
      </c>
      <c r="M555" s="2631">
        <f t="shared" si="136"/>
        <v>0</v>
      </c>
      <c r="N555" s="2644">
        <f t="shared" si="136"/>
        <v>1149.229</v>
      </c>
      <c r="O555" s="2631">
        <f t="shared" si="136"/>
        <v>0</v>
      </c>
      <c r="P555" s="2631">
        <f t="shared" si="136"/>
        <v>0</v>
      </c>
      <c r="Q555" s="2631">
        <f t="shared" si="136"/>
        <v>0</v>
      </c>
      <c r="R555" s="2631">
        <f t="shared" si="136"/>
        <v>0</v>
      </c>
      <c r="S555" s="2631">
        <f t="shared" si="136"/>
        <v>0</v>
      </c>
      <c r="T555" s="2631">
        <f t="shared" si="136"/>
        <v>0</v>
      </c>
      <c r="U555" s="2641">
        <f t="shared" si="136"/>
        <v>1195.1980000000001</v>
      </c>
    </row>
    <row r="556" spans="1:21" ht="21" x14ac:dyDescent="0.35">
      <c r="A556" s="32"/>
      <c r="B556" s="1182" t="s">
        <v>571</v>
      </c>
      <c r="C556" s="1183"/>
      <c r="D556" s="2750" t="s">
        <v>456</v>
      </c>
      <c r="E556" s="2750" t="s">
        <v>495</v>
      </c>
      <c r="F556" s="2750" t="s">
        <v>152</v>
      </c>
      <c r="G556" s="2751" t="s">
        <v>5</v>
      </c>
      <c r="H556" s="2641">
        <v>1105.028</v>
      </c>
      <c r="I556" s="2642"/>
      <c r="J556" s="2645"/>
      <c r="K556" s="2631"/>
      <c r="L556" s="2631"/>
      <c r="M556" s="2631"/>
      <c r="N556" s="2644">
        <v>1149.229</v>
      </c>
      <c r="O556" s="2631"/>
      <c r="P556" s="2631"/>
      <c r="Q556" s="2631"/>
      <c r="R556" s="2631"/>
      <c r="S556" s="2631"/>
      <c r="T556" s="2631"/>
      <c r="U556" s="2641">
        <v>1195.1980000000001</v>
      </c>
    </row>
    <row r="557" spans="1:21" ht="21" x14ac:dyDescent="0.35">
      <c r="A557" s="32"/>
      <c r="B557" s="1256" t="s">
        <v>921</v>
      </c>
      <c r="C557" s="1183"/>
      <c r="D557" s="2750" t="s">
        <v>456</v>
      </c>
      <c r="E557" s="2750" t="s">
        <v>495</v>
      </c>
      <c r="F557" s="2750" t="s">
        <v>152</v>
      </c>
      <c r="G557" s="2751" t="s">
        <v>955</v>
      </c>
      <c r="H557" s="2641">
        <f t="shared" ref="H557:U557" si="137">H558</f>
        <v>650.85</v>
      </c>
      <c r="I557" s="2642">
        <f t="shared" si="137"/>
        <v>0</v>
      </c>
      <c r="J557" s="2645">
        <f t="shared" si="137"/>
        <v>0</v>
      </c>
      <c r="K557" s="2631">
        <f t="shared" si="137"/>
        <v>0</v>
      </c>
      <c r="L557" s="2631">
        <f t="shared" si="137"/>
        <v>0</v>
      </c>
      <c r="M557" s="2631">
        <f t="shared" si="137"/>
        <v>0</v>
      </c>
      <c r="N557" s="2644">
        <f t="shared" si="137"/>
        <v>689.96100000000001</v>
      </c>
      <c r="O557" s="2631">
        <f t="shared" si="137"/>
        <v>0</v>
      </c>
      <c r="P557" s="2631">
        <f t="shared" si="137"/>
        <v>0</v>
      </c>
      <c r="Q557" s="2631">
        <f t="shared" si="137"/>
        <v>0</v>
      </c>
      <c r="R557" s="2631">
        <f t="shared" si="137"/>
        <v>0</v>
      </c>
      <c r="S557" s="2631">
        <f t="shared" si="137"/>
        <v>0</v>
      </c>
      <c r="T557" s="2631">
        <f t="shared" si="137"/>
        <v>0</v>
      </c>
      <c r="U557" s="2641">
        <f t="shared" si="137"/>
        <v>731.41800000000001</v>
      </c>
    </row>
    <row r="558" spans="1:21" ht="21" x14ac:dyDescent="0.35">
      <c r="A558" s="32"/>
      <c r="B558" s="1182" t="s">
        <v>454</v>
      </c>
      <c r="C558" s="1183"/>
      <c r="D558" s="2750" t="s">
        <v>456</v>
      </c>
      <c r="E558" s="2750" t="s">
        <v>495</v>
      </c>
      <c r="F558" s="2750" t="s">
        <v>152</v>
      </c>
      <c r="G558" s="2751" t="s">
        <v>1</v>
      </c>
      <c r="H558" s="2646">
        <v>650.85</v>
      </c>
      <c r="I558" s="2642"/>
      <c r="J558" s="2645"/>
      <c r="K558" s="2647"/>
      <c r="L558" s="2631"/>
      <c r="M558" s="2631"/>
      <c r="N558" s="2648">
        <v>689.96100000000001</v>
      </c>
      <c r="O558" s="2631"/>
      <c r="P558" s="2631"/>
      <c r="Q558" s="2631"/>
      <c r="R558" s="2631"/>
      <c r="S558" s="2631"/>
      <c r="T558" s="2631"/>
      <c r="U558" s="2646">
        <v>731.41800000000001</v>
      </c>
    </row>
    <row r="559" spans="1:21" hidden="1" x14ac:dyDescent="0.35">
      <c r="A559" s="1478"/>
      <c r="B559" s="1191" t="s">
        <v>1003</v>
      </c>
      <c r="C559" s="1192"/>
      <c r="D559" s="2750" t="s">
        <v>456</v>
      </c>
      <c r="E559" s="2750" t="s">
        <v>495</v>
      </c>
      <c r="F559" s="2750" t="s">
        <v>152</v>
      </c>
      <c r="G559" s="2753" t="s">
        <v>95</v>
      </c>
      <c r="H559" s="2714"/>
      <c r="I559" s="2651"/>
      <c r="J559" s="2715"/>
      <c r="K559" s="2647"/>
      <c r="L559" s="2631"/>
      <c r="M559" s="2631"/>
      <c r="N559" s="2716"/>
      <c r="O559" s="2631"/>
      <c r="P559" s="2631"/>
      <c r="Q559" s="2631"/>
      <c r="R559" s="2631"/>
      <c r="S559" s="2631"/>
      <c r="T559" s="2631"/>
      <c r="U559" s="2714"/>
    </row>
    <row r="560" spans="1:21" x14ac:dyDescent="0.35">
      <c r="A560" s="1478"/>
      <c r="B560" s="1191" t="s">
        <v>1068</v>
      </c>
      <c r="C560" s="1192"/>
      <c r="D560" s="2752" t="s">
        <v>456</v>
      </c>
      <c r="E560" s="2752" t="s">
        <v>495</v>
      </c>
      <c r="F560" s="2752" t="s">
        <v>152</v>
      </c>
      <c r="G560" s="2753" t="s">
        <v>1064</v>
      </c>
      <c r="H560" s="2714">
        <f>H562+H561</f>
        <v>1</v>
      </c>
      <c r="I560" s="2651">
        <f t="shared" ref="I560:U560" si="138">I562</f>
        <v>0</v>
      </c>
      <c r="J560" s="2715">
        <f t="shared" si="138"/>
        <v>0</v>
      </c>
      <c r="K560" s="2647">
        <f t="shared" si="138"/>
        <v>5</v>
      </c>
      <c r="L560" s="2631">
        <f t="shared" si="138"/>
        <v>0</v>
      </c>
      <c r="M560" s="2631">
        <f t="shared" si="138"/>
        <v>0</v>
      </c>
      <c r="N560" s="2716">
        <f t="shared" si="138"/>
        <v>1</v>
      </c>
      <c r="O560" s="2631">
        <f t="shared" si="138"/>
        <v>0</v>
      </c>
      <c r="P560" s="2631">
        <f t="shared" si="138"/>
        <v>0</v>
      </c>
      <c r="Q560" s="2631">
        <f t="shared" si="138"/>
        <v>0</v>
      </c>
      <c r="R560" s="2631">
        <f t="shared" si="138"/>
        <v>0</v>
      </c>
      <c r="S560" s="2631">
        <f t="shared" si="138"/>
        <v>0</v>
      </c>
      <c r="T560" s="2631">
        <f t="shared" si="138"/>
        <v>0</v>
      </c>
      <c r="U560" s="2714">
        <f t="shared" si="138"/>
        <v>1</v>
      </c>
    </row>
    <row r="561" spans="1:30" ht="16" thickBot="1" x14ac:dyDescent="0.4">
      <c r="A561" s="1478"/>
      <c r="B561" s="1191" t="s">
        <v>1003</v>
      </c>
      <c r="C561" s="1192"/>
      <c r="D561" s="2752" t="s">
        <v>456</v>
      </c>
      <c r="E561" s="2752" t="s">
        <v>495</v>
      </c>
      <c r="F561" s="2783" t="s">
        <v>152</v>
      </c>
      <c r="G561" s="2753" t="s">
        <v>95</v>
      </c>
      <c r="H561" s="2714">
        <v>0.5</v>
      </c>
      <c r="I561" s="2651"/>
      <c r="J561" s="2715"/>
      <c r="K561" s="2647"/>
      <c r="L561" s="2631"/>
      <c r="M561" s="2631"/>
      <c r="N561" s="2716">
        <v>0</v>
      </c>
      <c r="O561" s="2631"/>
      <c r="P561" s="2631"/>
      <c r="Q561" s="2631"/>
      <c r="R561" s="2631"/>
      <c r="S561" s="2631"/>
      <c r="T561" s="2631"/>
      <c r="U561" s="2714">
        <v>0</v>
      </c>
    </row>
    <row r="562" spans="1:30" ht="16" thickBot="1" x14ac:dyDescent="0.4">
      <c r="A562" s="26"/>
      <c r="B562" s="1259" t="s">
        <v>457</v>
      </c>
      <c r="C562" s="1260"/>
      <c r="D562" s="2783" t="s">
        <v>456</v>
      </c>
      <c r="E562" s="2783" t="s">
        <v>495</v>
      </c>
      <c r="F562" s="2783" t="s">
        <v>152</v>
      </c>
      <c r="G562" s="2773" t="s">
        <v>91</v>
      </c>
      <c r="H562" s="2717">
        <v>0.5</v>
      </c>
      <c r="I562" s="2718"/>
      <c r="J562" s="2719"/>
      <c r="K562" s="2720">
        <v>5</v>
      </c>
      <c r="L562" s="2721"/>
      <c r="M562" s="2721"/>
      <c r="N562" s="2722">
        <v>1</v>
      </c>
      <c r="O562" s="2721"/>
      <c r="P562" s="2721"/>
      <c r="Q562" s="2721"/>
      <c r="R562" s="2721"/>
      <c r="S562" s="2721"/>
      <c r="T562" s="2721"/>
      <c r="U562" s="2717">
        <v>1</v>
      </c>
    </row>
    <row r="563" spans="1:30" ht="39.5" hidden="1" thickBot="1" x14ac:dyDescent="0.4">
      <c r="A563" s="1168">
        <v>3</v>
      </c>
      <c r="B563" s="2242" t="s">
        <v>1109</v>
      </c>
      <c r="C563" s="1161" t="s">
        <v>1108</v>
      </c>
      <c r="D563" s="2744"/>
      <c r="E563" s="2744"/>
      <c r="F563" s="2744"/>
      <c r="G563" s="2745"/>
      <c r="H563" s="2622">
        <f>H564+H658+H684+H733+H826+H836++H859+H877+H650+H902</f>
        <v>0</v>
      </c>
      <c r="I563" s="2633">
        <f>I564+I633+I659+I708+I782+I793+I832+I847+I625</f>
        <v>0</v>
      </c>
      <c r="J563" s="2635">
        <f>J564+J633+J659+J708+J782+J793+J832+J847+J625</f>
        <v>0</v>
      </c>
      <c r="K563" s="2713"/>
      <c r="L563" s="2713"/>
      <c r="M563" s="2713"/>
      <c r="N563" s="2626">
        <f>N564+N658+N684+N733+N826+N836++N859+N877+N650+N902</f>
        <v>2938.2</v>
      </c>
      <c r="O563" s="2713"/>
      <c r="P563" s="2713"/>
      <c r="Q563" s="2713"/>
      <c r="R563" s="2713"/>
      <c r="S563" s="2713"/>
      <c r="T563" s="2713"/>
      <c r="U563" s="2622">
        <f>U564+U658+U684+U733+U826+U836++U859+U877+U650+U902</f>
        <v>5648</v>
      </c>
    </row>
    <row r="564" spans="1:30" ht="16" hidden="1" thickBot="1" x14ac:dyDescent="0.4">
      <c r="A564" s="2243"/>
      <c r="B564" s="2253" t="s">
        <v>431</v>
      </c>
      <c r="C564" s="2244"/>
      <c r="D564" s="2754" t="s">
        <v>456</v>
      </c>
      <c r="E564" s="2754" t="s">
        <v>459</v>
      </c>
      <c r="F564" s="2754"/>
      <c r="G564" s="2755"/>
      <c r="H564" s="2723">
        <f>H571+H572+H597+H615+H627+H633</f>
        <v>0</v>
      </c>
      <c r="I564" s="2724">
        <f>I565+I572+I589</f>
        <v>0</v>
      </c>
      <c r="J564" s="2725">
        <f>J565+J572+J589</f>
        <v>0</v>
      </c>
      <c r="K564" s="2726" t="e">
        <f>#REF!+K578+K580+K583+K602+K603+K604+K606+K608+K614+K620+K632+K636+K637+K638+K639</f>
        <v>#REF!</v>
      </c>
      <c r="L564" s="2625"/>
      <c r="M564" s="2625"/>
      <c r="N564" s="2723">
        <f>N571+N572+N597+N615+N627+N633</f>
        <v>2938.2</v>
      </c>
      <c r="O564" s="2625"/>
      <c r="P564" s="2625"/>
      <c r="Q564" s="2625"/>
      <c r="R564" s="2625"/>
      <c r="S564" s="2625"/>
      <c r="T564" s="2625"/>
      <c r="U564" s="2723">
        <f>U571+U572+U597+U615+U627+U633</f>
        <v>5648</v>
      </c>
    </row>
    <row r="565" spans="1:30" ht="16" hidden="1" thickBot="1" x14ac:dyDescent="0.4">
      <c r="A565" s="2241"/>
      <c r="B565" s="2254" t="s">
        <v>1110</v>
      </c>
      <c r="C565" s="1177"/>
      <c r="D565" s="2750" t="s">
        <v>456</v>
      </c>
      <c r="E565" s="2750" t="s">
        <v>506</v>
      </c>
      <c r="F565" s="2750"/>
      <c r="G565" s="2751"/>
      <c r="H565" s="2641">
        <f t="shared" ref="H565:H570" si="139">H566</f>
        <v>0</v>
      </c>
      <c r="I565" s="2642">
        <f t="shared" ref="I565:J569" si="140">I566</f>
        <v>0</v>
      </c>
      <c r="J565" s="2643">
        <f t="shared" si="140"/>
        <v>0</v>
      </c>
      <c r="K565" s="2631"/>
      <c r="L565" s="2631"/>
      <c r="M565" s="2631"/>
      <c r="N565" s="2641">
        <f t="shared" ref="N565:N570" si="141">N566</f>
        <v>0</v>
      </c>
      <c r="O565" s="2631"/>
      <c r="P565" s="2631"/>
      <c r="Q565" s="2631"/>
      <c r="R565" s="2631"/>
      <c r="S565" s="2631"/>
      <c r="T565" s="2631"/>
      <c r="U565" s="2641">
        <f t="shared" ref="U565:U570" si="142">U566</f>
        <v>0</v>
      </c>
    </row>
    <row r="566" spans="1:30" ht="39.5" hidden="1" thickBot="1" x14ac:dyDescent="0.4">
      <c r="A566" s="2241"/>
      <c r="B566" s="2255" t="s">
        <v>1111</v>
      </c>
      <c r="C566" s="1177"/>
      <c r="D566" s="2750" t="s">
        <v>456</v>
      </c>
      <c r="E566" s="2750" t="s">
        <v>506</v>
      </c>
      <c r="F566" s="2750" t="s">
        <v>89</v>
      </c>
      <c r="G566" s="2751"/>
      <c r="H566" s="2641">
        <f t="shared" si="139"/>
        <v>0</v>
      </c>
      <c r="I566" s="2642">
        <f t="shared" si="140"/>
        <v>0</v>
      </c>
      <c r="J566" s="2643">
        <f t="shared" si="140"/>
        <v>0</v>
      </c>
      <c r="K566" s="2631"/>
      <c r="L566" s="2631"/>
      <c r="M566" s="2631"/>
      <c r="N566" s="2641">
        <f t="shared" si="141"/>
        <v>0</v>
      </c>
      <c r="O566" s="2631"/>
      <c r="P566" s="2631"/>
      <c r="Q566" s="2631"/>
      <c r="R566" s="2631"/>
      <c r="S566" s="2631"/>
      <c r="T566" s="2631"/>
      <c r="U566" s="2641">
        <f t="shared" si="142"/>
        <v>0</v>
      </c>
    </row>
    <row r="567" spans="1:30" ht="16" hidden="1" thickBot="1" x14ac:dyDescent="0.4">
      <c r="A567" s="2241"/>
      <c r="B567" s="2255" t="s">
        <v>582</v>
      </c>
      <c r="C567" s="1177"/>
      <c r="D567" s="2750" t="s">
        <v>456</v>
      </c>
      <c r="E567" s="2750" t="s">
        <v>506</v>
      </c>
      <c r="F567" s="2750" t="s">
        <v>84</v>
      </c>
      <c r="G567" s="2751"/>
      <c r="H567" s="2641">
        <f t="shared" si="139"/>
        <v>0</v>
      </c>
      <c r="I567" s="2642">
        <f t="shared" si="140"/>
        <v>0</v>
      </c>
      <c r="J567" s="2643">
        <f t="shared" si="140"/>
        <v>0</v>
      </c>
      <c r="K567" s="2631"/>
      <c r="L567" s="2631"/>
      <c r="M567" s="2631"/>
      <c r="N567" s="2641">
        <f t="shared" si="141"/>
        <v>0</v>
      </c>
      <c r="O567" s="2631"/>
      <c r="P567" s="2631"/>
      <c r="Q567" s="2631"/>
      <c r="R567" s="2631"/>
      <c r="S567" s="2631"/>
      <c r="T567" s="2631"/>
      <c r="U567" s="2641">
        <f t="shared" si="142"/>
        <v>0</v>
      </c>
    </row>
    <row r="568" spans="1:30" ht="16" hidden="1" thickBot="1" x14ac:dyDescent="0.4">
      <c r="A568" s="2241"/>
      <c r="B568" s="2255" t="s">
        <v>582</v>
      </c>
      <c r="C568" s="1177"/>
      <c r="D568" s="2750" t="s">
        <v>595</v>
      </c>
      <c r="E568" s="2750" t="s">
        <v>506</v>
      </c>
      <c r="F568" s="2750" t="s">
        <v>82</v>
      </c>
      <c r="G568" s="2751"/>
      <c r="H568" s="2641">
        <f t="shared" si="139"/>
        <v>0</v>
      </c>
      <c r="I568" s="2642">
        <f t="shared" si="140"/>
        <v>0</v>
      </c>
      <c r="J568" s="2643">
        <f t="shared" si="140"/>
        <v>0</v>
      </c>
      <c r="K568" s="2631"/>
      <c r="L568" s="2631"/>
      <c r="M568" s="2631"/>
      <c r="N568" s="2641">
        <f t="shared" si="141"/>
        <v>0</v>
      </c>
      <c r="O568" s="2631"/>
      <c r="P568" s="2631"/>
      <c r="Q568" s="2631"/>
      <c r="R568" s="2631"/>
      <c r="S568" s="2631"/>
      <c r="T568" s="2631"/>
      <c r="U568" s="2641">
        <f t="shared" si="142"/>
        <v>0</v>
      </c>
    </row>
    <row r="569" spans="1:30" ht="39.5" hidden="1" thickBot="1" x14ac:dyDescent="0.4">
      <c r="A569" s="2241"/>
      <c r="B569" s="2256" t="s">
        <v>1114</v>
      </c>
      <c r="C569" s="1177"/>
      <c r="D569" s="2750" t="s">
        <v>595</v>
      </c>
      <c r="E569" s="2750" t="s">
        <v>506</v>
      </c>
      <c r="F569" s="2750" t="s">
        <v>1104</v>
      </c>
      <c r="G569" s="2751"/>
      <c r="H569" s="2641">
        <f t="shared" si="139"/>
        <v>0</v>
      </c>
      <c r="I569" s="2642">
        <f t="shared" si="140"/>
        <v>0</v>
      </c>
      <c r="J569" s="2643">
        <f t="shared" si="140"/>
        <v>0</v>
      </c>
      <c r="K569" s="2631"/>
      <c r="L569" s="2631"/>
      <c r="M569" s="2631"/>
      <c r="N569" s="2641">
        <f t="shared" si="141"/>
        <v>0</v>
      </c>
      <c r="O569" s="2631"/>
      <c r="P569" s="2631"/>
      <c r="Q569" s="2631"/>
      <c r="R569" s="2631"/>
      <c r="S569" s="2631"/>
      <c r="T569" s="2631"/>
      <c r="U569" s="2641">
        <f t="shared" si="142"/>
        <v>0</v>
      </c>
    </row>
    <row r="570" spans="1:30" ht="16" hidden="1" thickBot="1" x14ac:dyDescent="0.4">
      <c r="A570" s="2241"/>
      <c r="B570" s="2257" t="s">
        <v>1065</v>
      </c>
      <c r="C570" s="1207"/>
      <c r="D570" s="2750" t="s">
        <v>456</v>
      </c>
      <c r="E570" s="2750" t="s">
        <v>506</v>
      </c>
      <c r="F570" s="2750" t="s">
        <v>1104</v>
      </c>
      <c r="G570" s="2751" t="s">
        <v>1064</v>
      </c>
      <c r="H570" s="2641">
        <f t="shared" si="139"/>
        <v>0</v>
      </c>
      <c r="I570" s="2642"/>
      <c r="J570" s="2643"/>
      <c r="K570" s="2631"/>
      <c r="L570" s="2631"/>
      <c r="M570" s="2631"/>
      <c r="N570" s="2641">
        <f t="shared" si="141"/>
        <v>0</v>
      </c>
      <c r="O570" s="2631"/>
      <c r="P570" s="2631"/>
      <c r="Q570" s="2631"/>
      <c r="R570" s="2631"/>
      <c r="S570" s="2631"/>
      <c r="T570" s="2631"/>
      <c r="U570" s="2641">
        <f t="shared" si="142"/>
        <v>0</v>
      </c>
    </row>
    <row r="571" spans="1:30" ht="16" hidden="1" thickBot="1" x14ac:dyDescent="0.4">
      <c r="A571" s="2245"/>
      <c r="B571" s="2258" t="s">
        <v>1112</v>
      </c>
      <c r="C571" s="2246"/>
      <c r="D571" s="2783" t="s">
        <v>456</v>
      </c>
      <c r="E571" s="2783" t="s">
        <v>506</v>
      </c>
      <c r="F571" s="2783" t="s">
        <v>1104</v>
      </c>
      <c r="G571" s="2773" t="s">
        <v>1113</v>
      </c>
      <c r="H571" s="2650">
        <v>0</v>
      </c>
      <c r="I571" s="2651"/>
      <c r="J571" s="2727"/>
      <c r="K571" s="2631" t="e">
        <f>#REF!+K578+K580+K583</f>
        <v>#REF!</v>
      </c>
      <c r="L571" s="2631" t="e">
        <f>K571-3579.885</f>
        <v>#REF!</v>
      </c>
      <c r="M571" s="2631"/>
      <c r="N571" s="2650">
        <v>0</v>
      </c>
      <c r="O571" s="2631"/>
      <c r="P571" s="2631"/>
      <c r="Q571" s="2631"/>
      <c r="R571" s="2631"/>
      <c r="S571" s="2631"/>
      <c r="T571" s="2631"/>
      <c r="U571" s="2650">
        <v>0</v>
      </c>
    </row>
    <row r="572" spans="1:30" ht="16" thickBot="1" x14ac:dyDescent="0.4">
      <c r="A572" s="2571"/>
      <c r="B572" s="2396" t="s">
        <v>1231</v>
      </c>
      <c r="C572" s="2387"/>
      <c r="D572" s="2784"/>
      <c r="E572" s="2784"/>
      <c r="F572" s="2784"/>
      <c r="G572" s="2784"/>
      <c r="H572" s="2728">
        <v>0</v>
      </c>
      <c r="I572" s="2729"/>
      <c r="J572" s="2730"/>
      <c r="K572" s="2730"/>
      <c r="L572" s="2730"/>
      <c r="M572" s="2731"/>
      <c r="N572" s="2732">
        <v>2938.2</v>
      </c>
      <c r="O572" s="2733"/>
      <c r="P572" s="2730"/>
      <c r="Q572" s="2730"/>
      <c r="R572" s="2730"/>
      <c r="S572" s="2730"/>
      <c r="T572" s="2730"/>
      <c r="U572" s="2734">
        <v>5648</v>
      </c>
    </row>
    <row r="573" spans="1:30" ht="16" thickBot="1" x14ac:dyDescent="0.3">
      <c r="A573" s="2571"/>
      <c r="B573" s="2389" t="s">
        <v>1205</v>
      </c>
      <c r="C573" s="2387"/>
      <c r="D573" s="2784"/>
      <c r="E573" s="2784"/>
      <c r="F573" s="2784"/>
      <c r="G573" s="2784"/>
      <c r="H573" s="2735">
        <f>H24+H572</f>
        <v>150473.16643000001</v>
      </c>
      <c r="I573" s="2736"/>
      <c r="J573" s="2737"/>
      <c r="K573" s="2737"/>
      <c r="L573" s="2737"/>
      <c r="M573" s="2738"/>
      <c r="N573" s="2728">
        <f>N24+N572</f>
        <v>112841.554</v>
      </c>
      <c r="O573" s="2739"/>
      <c r="P573" s="2737"/>
      <c r="Q573" s="2737"/>
      <c r="R573" s="2737"/>
      <c r="S573" s="2737"/>
      <c r="T573" s="2737"/>
      <c r="U573" s="2740">
        <f>U24+U572</f>
        <v>112966.156</v>
      </c>
      <c r="AD573" s="237"/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547" customWidth="1"/>
    <col min="12" max="12" width="11.7265625" style="547" customWidth="1"/>
    <col min="13" max="16" width="17.453125" style="548" hidden="1" customWidth="1"/>
    <col min="17" max="17" width="18.26953125" style="549" hidden="1" customWidth="1"/>
    <col min="18" max="18" width="9.1796875" style="547" customWidth="1"/>
    <col min="19" max="19" width="13" style="547" customWidth="1"/>
    <col min="20" max="20" width="9.1796875" style="547" hidden="1" customWidth="1"/>
    <col min="21" max="256" width="9.1796875" style="547"/>
    <col min="257" max="258" width="9.1796875" style="547" customWidth="1"/>
    <col min="259" max="259" width="15.54296875" style="547" customWidth="1"/>
    <col min="260" max="261" width="9.1796875" style="547" customWidth="1"/>
    <col min="262" max="262" width="19" style="547" customWidth="1"/>
    <col min="263" max="263" width="15.453125" style="547" customWidth="1"/>
    <col min="264" max="264" width="18.26953125" style="547" customWidth="1"/>
    <col min="265" max="265" width="9.1796875" style="547" customWidth="1"/>
    <col min="266" max="266" width="26.453125" style="547" customWidth="1"/>
    <col min="267" max="267" width="9.1796875" style="547" customWidth="1"/>
    <col min="268" max="268" width="11.7265625" style="547" customWidth="1"/>
    <col min="269" max="273" width="0" style="547" hidden="1" customWidth="1"/>
    <col min="274" max="274" width="9.1796875" style="547" customWidth="1"/>
    <col min="275" max="275" width="13" style="547" customWidth="1"/>
    <col min="276" max="276" width="0" style="547" hidden="1" customWidth="1"/>
    <col min="277" max="512" width="9.1796875" style="547"/>
    <col min="513" max="514" width="9.1796875" style="547" customWidth="1"/>
    <col min="515" max="515" width="15.54296875" style="547" customWidth="1"/>
    <col min="516" max="517" width="9.1796875" style="547" customWidth="1"/>
    <col min="518" max="518" width="19" style="547" customWidth="1"/>
    <col min="519" max="519" width="15.453125" style="547" customWidth="1"/>
    <col min="520" max="520" width="18.26953125" style="547" customWidth="1"/>
    <col min="521" max="521" width="9.1796875" style="547" customWidth="1"/>
    <col min="522" max="522" width="26.453125" style="547" customWidth="1"/>
    <col min="523" max="523" width="9.1796875" style="547" customWidth="1"/>
    <col min="524" max="524" width="11.7265625" style="547" customWidth="1"/>
    <col min="525" max="529" width="0" style="547" hidden="1" customWidth="1"/>
    <col min="530" max="530" width="9.1796875" style="547" customWidth="1"/>
    <col min="531" max="531" width="13" style="547" customWidth="1"/>
    <col min="532" max="532" width="0" style="547" hidden="1" customWidth="1"/>
    <col min="533" max="768" width="9.1796875" style="547"/>
    <col min="769" max="770" width="9.1796875" style="547" customWidth="1"/>
    <col min="771" max="771" width="15.54296875" style="547" customWidth="1"/>
    <col min="772" max="773" width="9.1796875" style="547" customWidth="1"/>
    <col min="774" max="774" width="19" style="547" customWidth="1"/>
    <col min="775" max="775" width="15.453125" style="547" customWidth="1"/>
    <col min="776" max="776" width="18.26953125" style="547" customWidth="1"/>
    <col min="777" max="777" width="9.1796875" style="547" customWidth="1"/>
    <col min="778" max="778" width="26.453125" style="547" customWidth="1"/>
    <col min="779" max="779" width="9.1796875" style="547" customWidth="1"/>
    <col min="780" max="780" width="11.7265625" style="547" customWidth="1"/>
    <col min="781" max="785" width="0" style="547" hidden="1" customWidth="1"/>
    <col min="786" max="786" width="9.1796875" style="547" customWidth="1"/>
    <col min="787" max="787" width="13" style="547" customWidth="1"/>
    <col min="788" max="788" width="0" style="547" hidden="1" customWidth="1"/>
    <col min="789" max="1024" width="9.1796875" style="547"/>
    <col min="1025" max="1026" width="9.1796875" style="547" customWidth="1"/>
    <col min="1027" max="1027" width="15.54296875" style="547" customWidth="1"/>
    <col min="1028" max="1029" width="9.1796875" style="547" customWidth="1"/>
    <col min="1030" max="1030" width="19" style="547" customWidth="1"/>
    <col min="1031" max="1031" width="15.453125" style="547" customWidth="1"/>
    <col min="1032" max="1032" width="18.26953125" style="547" customWidth="1"/>
    <col min="1033" max="1033" width="9.1796875" style="547" customWidth="1"/>
    <col min="1034" max="1034" width="26.453125" style="547" customWidth="1"/>
    <col min="1035" max="1035" width="9.1796875" style="547" customWidth="1"/>
    <col min="1036" max="1036" width="11.7265625" style="547" customWidth="1"/>
    <col min="1037" max="1041" width="0" style="547" hidden="1" customWidth="1"/>
    <col min="1042" max="1042" width="9.1796875" style="547" customWidth="1"/>
    <col min="1043" max="1043" width="13" style="547" customWidth="1"/>
    <col min="1044" max="1044" width="0" style="547" hidden="1" customWidth="1"/>
    <col min="1045" max="1280" width="9.1796875" style="547"/>
    <col min="1281" max="1282" width="9.1796875" style="547" customWidth="1"/>
    <col min="1283" max="1283" width="15.54296875" style="547" customWidth="1"/>
    <col min="1284" max="1285" width="9.1796875" style="547" customWidth="1"/>
    <col min="1286" max="1286" width="19" style="547" customWidth="1"/>
    <col min="1287" max="1287" width="15.453125" style="547" customWidth="1"/>
    <col min="1288" max="1288" width="18.26953125" style="547" customWidth="1"/>
    <col min="1289" max="1289" width="9.1796875" style="547" customWidth="1"/>
    <col min="1290" max="1290" width="26.453125" style="547" customWidth="1"/>
    <col min="1291" max="1291" width="9.1796875" style="547" customWidth="1"/>
    <col min="1292" max="1292" width="11.7265625" style="547" customWidth="1"/>
    <col min="1293" max="1297" width="0" style="547" hidden="1" customWidth="1"/>
    <col min="1298" max="1298" width="9.1796875" style="547" customWidth="1"/>
    <col min="1299" max="1299" width="13" style="547" customWidth="1"/>
    <col min="1300" max="1300" width="0" style="547" hidden="1" customWidth="1"/>
    <col min="1301" max="1536" width="9.1796875" style="547"/>
    <col min="1537" max="1538" width="9.1796875" style="547" customWidth="1"/>
    <col min="1539" max="1539" width="15.54296875" style="547" customWidth="1"/>
    <col min="1540" max="1541" width="9.1796875" style="547" customWidth="1"/>
    <col min="1542" max="1542" width="19" style="547" customWidth="1"/>
    <col min="1543" max="1543" width="15.453125" style="547" customWidth="1"/>
    <col min="1544" max="1544" width="18.26953125" style="547" customWidth="1"/>
    <col min="1545" max="1545" width="9.1796875" style="547" customWidth="1"/>
    <col min="1546" max="1546" width="26.453125" style="547" customWidth="1"/>
    <col min="1547" max="1547" width="9.1796875" style="547" customWidth="1"/>
    <col min="1548" max="1548" width="11.7265625" style="547" customWidth="1"/>
    <col min="1549" max="1553" width="0" style="547" hidden="1" customWidth="1"/>
    <col min="1554" max="1554" width="9.1796875" style="547" customWidth="1"/>
    <col min="1555" max="1555" width="13" style="547" customWidth="1"/>
    <col min="1556" max="1556" width="0" style="547" hidden="1" customWidth="1"/>
    <col min="1557" max="1792" width="9.1796875" style="547"/>
    <col min="1793" max="1794" width="9.1796875" style="547" customWidth="1"/>
    <col min="1795" max="1795" width="15.54296875" style="547" customWidth="1"/>
    <col min="1796" max="1797" width="9.1796875" style="547" customWidth="1"/>
    <col min="1798" max="1798" width="19" style="547" customWidth="1"/>
    <col min="1799" max="1799" width="15.453125" style="547" customWidth="1"/>
    <col min="1800" max="1800" width="18.26953125" style="547" customWidth="1"/>
    <col min="1801" max="1801" width="9.1796875" style="547" customWidth="1"/>
    <col min="1802" max="1802" width="26.453125" style="547" customWidth="1"/>
    <col min="1803" max="1803" width="9.1796875" style="547" customWidth="1"/>
    <col min="1804" max="1804" width="11.7265625" style="547" customWidth="1"/>
    <col min="1805" max="1809" width="0" style="547" hidden="1" customWidth="1"/>
    <col min="1810" max="1810" width="9.1796875" style="547" customWidth="1"/>
    <col min="1811" max="1811" width="13" style="547" customWidth="1"/>
    <col min="1812" max="1812" width="0" style="547" hidden="1" customWidth="1"/>
    <col min="1813" max="2048" width="9.1796875" style="547"/>
    <col min="2049" max="2050" width="9.1796875" style="547" customWidth="1"/>
    <col min="2051" max="2051" width="15.54296875" style="547" customWidth="1"/>
    <col min="2052" max="2053" width="9.1796875" style="547" customWidth="1"/>
    <col min="2054" max="2054" width="19" style="547" customWidth="1"/>
    <col min="2055" max="2055" width="15.453125" style="547" customWidth="1"/>
    <col min="2056" max="2056" width="18.26953125" style="547" customWidth="1"/>
    <col min="2057" max="2057" width="9.1796875" style="547" customWidth="1"/>
    <col min="2058" max="2058" width="26.453125" style="547" customWidth="1"/>
    <col min="2059" max="2059" width="9.1796875" style="547" customWidth="1"/>
    <col min="2060" max="2060" width="11.7265625" style="547" customWidth="1"/>
    <col min="2061" max="2065" width="0" style="547" hidden="1" customWidth="1"/>
    <col min="2066" max="2066" width="9.1796875" style="547" customWidth="1"/>
    <col min="2067" max="2067" width="13" style="547" customWidth="1"/>
    <col min="2068" max="2068" width="0" style="547" hidden="1" customWidth="1"/>
    <col min="2069" max="2304" width="9.1796875" style="547"/>
    <col min="2305" max="2306" width="9.1796875" style="547" customWidth="1"/>
    <col min="2307" max="2307" width="15.54296875" style="547" customWidth="1"/>
    <col min="2308" max="2309" width="9.1796875" style="547" customWidth="1"/>
    <col min="2310" max="2310" width="19" style="547" customWidth="1"/>
    <col min="2311" max="2311" width="15.453125" style="547" customWidth="1"/>
    <col min="2312" max="2312" width="18.26953125" style="547" customWidth="1"/>
    <col min="2313" max="2313" width="9.1796875" style="547" customWidth="1"/>
    <col min="2314" max="2314" width="26.453125" style="547" customWidth="1"/>
    <col min="2315" max="2315" width="9.1796875" style="547" customWidth="1"/>
    <col min="2316" max="2316" width="11.7265625" style="547" customWidth="1"/>
    <col min="2317" max="2321" width="0" style="547" hidden="1" customWidth="1"/>
    <col min="2322" max="2322" width="9.1796875" style="547" customWidth="1"/>
    <col min="2323" max="2323" width="13" style="547" customWidth="1"/>
    <col min="2324" max="2324" width="0" style="547" hidden="1" customWidth="1"/>
    <col min="2325" max="2560" width="9.1796875" style="547"/>
    <col min="2561" max="2562" width="9.1796875" style="547" customWidth="1"/>
    <col min="2563" max="2563" width="15.54296875" style="547" customWidth="1"/>
    <col min="2564" max="2565" width="9.1796875" style="547" customWidth="1"/>
    <col min="2566" max="2566" width="19" style="547" customWidth="1"/>
    <col min="2567" max="2567" width="15.453125" style="547" customWidth="1"/>
    <col min="2568" max="2568" width="18.26953125" style="547" customWidth="1"/>
    <col min="2569" max="2569" width="9.1796875" style="547" customWidth="1"/>
    <col min="2570" max="2570" width="26.453125" style="547" customWidth="1"/>
    <col min="2571" max="2571" width="9.1796875" style="547" customWidth="1"/>
    <col min="2572" max="2572" width="11.7265625" style="547" customWidth="1"/>
    <col min="2573" max="2577" width="0" style="547" hidden="1" customWidth="1"/>
    <col min="2578" max="2578" width="9.1796875" style="547" customWidth="1"/>
    <col min="2579" max="2579" width="13" style="547" customWidth="1"/>
    <col min="2580" max="2580" width="0" style="547" hidden="1" customWidth="1"/>
    <col min="2581" max="2816" width="9.1796875" style="547"/>
    <col min="2817" max="2818" width="9.1796875" style="547" customWidth="1"/>
    <col min="2819" max="2819" width="15.54296875" style="547" customWidth="1"/>
    <col min="2820" max="2821" width="9.1796875" style="547" customWidth="1"/>
    <col min="2822" max="2822" width="19" style="547" customWidth="1"/>
    <col min="2823" max="2823" width="15.453125" style="547" customWidth="1"/>
    <col min="2824" max="2824" width="18.26953125" style="547" customWidth="1"/>
    <col min="2825" max="2825" width="9.1796875" style="547" customWidth="1"/>
    <col min="2826" max="2826" width="26.453125" style="547" customWidth="1"/>
    <col min="2827" max="2827" width="9.1796875" style="547" customWidth="1"/>
    <col min="2828" max="2828" width="11.7265625" style="547" customWidth="1"/>
    <col min="2829" max="2833" width="0" style="547" hidden="1" customWidth="1"/>
    <col min="2834" max="2834" width="9.1796875" style="547" customWidth="1"/>
    <col min="2835" max="2835" width="13" style="547" customWidth="1"/>
    <col min="2836" max="2836" width="0" style="547" hidden="1" customWidth="1"/>
    <col min="2837" max="3072" width="9.1796875" style="547"/>
    <col min="3073" max="3074" width="9.1796875" style="547" customWidth="1"/>
    <col min="3075" max="3075" width="15.54296875" style="547" customWidth="1"/>
    <col min="3076" max="3077" width="9.1796875" style="547" customWidth="1"/>
    <col min="3078" max="3078" width="19" style="547" customWidth="1"/>
    <col min="3079" max="3079" width="15.453125" style="547" customWidth="1"/>
    <col min="3080" max="3080" width="18.26953125" style="547" customWidth="1"/>
    <col min="3081" max="3081" width="9.1796875" style="547" customWidth="1"/>
    <col min="3082" max="3082" width="26.453125" style="547" customWidth="1"/>
    <col min="3083" max="3083" width="9.1796875" style="547" customWidth="1"/>
    <col min="3084" max="3084" width="11.7265625" style="547" customWidth="1"/>
    <col min="3085" max="3089" width="0" style="547" hidden="1" customWidth="1"/>
    <col min="3090" max="3090" width="9.1796875" style="547" customWidth="1"/>
    <col min="3091" max="3091" width="13" style="547" customWidth="1"/>
    <col min="3092" max="3092" width="0" style="547" hidden="1" customWidth="1"/>
    <col min="3093" max="3328" width="9.1796875" style="547"/>
    <col min="3329" max="3330" width="9.1796875" style="547" customWidth="1"/>
    <col min="3331" max="3331" width="15.54296875" style="547" customWidth="1"/>
    <col min="3332" max="3333" width="9.1796875" style="547" customWidth="1"/>
    <col min="3334" max="3334" width="19" style="547" customWidth="1"/>
    <col min="3335" max="3335" width="15.453125" style="547" customWidth="1"/>
    <col min="3336" max="3336" width="18.26953125" style="547" customWidth="1"/>
    <col min="3337" max="3337" width="9.1796875" style="547" customWidth="1"/>
    <col min="3338" max="3338" width="26.453125" style="547" customWidth="1"/>
    <col min="3339" max="3339" width="9.1796875" style="547" customWidth="1"/>
    <col min="3340" max="3340" width="11.7265625" style="547" customWidth="1"/>
    <col min="3341" max="3345" width="0" style="547" hidden="1" customWidth="1"/>
    <col min="3346" max="3346" width="9.1796875" style="547" customWidth="1"/>
    <col min="3347" max="3347" width="13" style="547" customWidth="1"/>
    <col min="3348" max="3348" width="0" style="547" hidden="1" customWidth="1"/>
    <col min="3349" max="3584" width="9.1796875" style="547"/>
    <col min="3585" max="3586" width="9.1796875" style="547" customWidth="1"/>
    <col min="3587" max="3587" width="15.54296875" style="547" customWidth="1"/>
    <col min="3588" max="3589" width="9.1796875" style="547" customWidth="1"/>
    <col min="3590" max="3590" width="19" style="547" customWidth="1"/>
    <col min="3591" max="3591" width="15.453125" style="547" customWidth="1"/>
    <col min="3592" max="3592" width="18.26953125" style="547" customWidth="1"/>
    <col min="3593" max="3593" width="9.1796875" style="547" customWidth="1"/>
    <col min="3594" max="3594" width="26.453125" style="547" customWidth="1"/>
    <col min="3595" max="3595" width="9.1796875" style="547" customWidth="1"/>
    <col min="3596" max="3596" width="11.7265625" style="547" customWidth="1"/>
    <col min="3597" max="3601" width="0" style="547" hidden="1" customWidth="1"/>
    <col min="3602" max="3602" width="9.1796875" style="547" customWidth="1"/>
    <col min="3603" max="3603" width="13" style="547" customWidth="1"/>
    <col min="3604" max="3604" width="0" style="547" hidden="1" customWidth="1"/>
    <col min="3605" max="3840" width="9.1796875" style="547"/>
    <col min="3841" max="3842" width="9.1796875" style="547" customWidth="1"/>
    <col min="3843" max="3843" width="15.54296875" style="547" customWidth="1"/>
    <col min="3844" max="3845" width="9.1796875" style="547" customWidth="1"/>
    <col min="3846" max="3846" width="19" style="547" customWidth="1"/>
    <col min="3847" max="3847" width="15.453125" style="547" customWidth="1"/>
    <col min="3848" max="3848" width="18.26953125" style="547" customWidth="1"/>
    <col min="3849" max="3849" width="9.1796875" style="547" customWidth="1"/>
    <col min="3850" max="3850" width="26.453125" style="547" customWidth="1"/>
    <col min="3851" max="3851" width="9.1796875" style="547" customWidth="1"/>
    <col min="3852" max="3852" width="11.7265625" style="547" customWidth="1"/>
    <col min="3853" max="3857" width="0" style="547" hidden="1" customWidth="1"/>
    <col min="3858" max="3858" width="9.1796875" style="547" customWidth="1"/>
    <col min="3859" max="3859" width="13" style="547" customWidth="1"/>
    <col min="3860" max="3860" width="0" style="547" hidden="1" customWidth="1"/>
    <col min="3861" max="4096" width="9.1796875" style="547"/>
    <col min="4097" max="4098" width="9.1796875" style="547" customWidth="1"/>
    <col min="4099" max="4099" width="15.54296875" style="547" customWidth="1"/>
    <col min="4100" max="4101" width="9.1796875" style="547" customWidth="1"/>
    <col min="4102" max="4102" width="19" style="547" customWidth="1"/>
    <col min="4103" max="4103" width="15.453125" style="547" customWidth="1"/>
    <col min="4104" max="4104" width="18.26953125" style="547" customWidth="1"/>
    <col min="4105" max="4105" width="9.1796875" style="547" customWidth="1"/>
    <col min="4106" max="4106" width="26.453125" style="547" customWidth="1"/>
    <col min="4107" max="4107" width="9.1796875" style="547" customWidth="1"/>
    <col min="4108" max="4108" width="11.7265625" style="547" customWidth="1"/>
    <col min="4109" max="4113" width="0" style="547" hidden="1" customWidth="1"/>
    <col min="4114" max="4114" width="9.1796875" style="547" customWidth="1"/>
    <col min="4115" max="4115" width="13" style="547" customWidth="1"/>
    <col min="4116" max="4116" width="0" style="547" hidden="1" customWidth="1"/>
    <col min="4117" max="4352" width="9.1796875" style="547"/>
    <col min="4353" max="4354" width="9.1796875" style="547" customWidth="1"/>
    <col min="4355" max="4355" width="15.54296875" style="547" customWidth="1"/>
    <col min="4356" max="4357" width="9.1796875" style="547" customWidth="1"/>
    <col min="4358" max="4358" width="19" style="547" customWidth="1"/>
    <col min="4359" max="4359" width="15.453125" style="547" customWidth="1"/>
    <col min="4360" max="4360" width="18.26953125" style="547" customWidth="1"/>
    <col min="4361" max="4361" width="9.1796875" style="547" customWidth="1"/>
    <col min="4362" max="4362" width="26.453125" style="547" customWidth="1"/>
    <col min="4363" max="4363" width="9.1796875" style="547" customWidth="1"/>
    <col min="4364" max="4364" width="11.7265625" style="547" customWidth="1"/>
    <col min="4365" max="4369" width="0" style="547" hidden="1" customWidth="1"/>
    <col min="4370" max="4370" width="9.1796875" style="547" customWidth="1"/>
    <col min="4371" max="4371" width="13" style="547" customWidth="1"/>
    <col min="4372" max="4372" width="0" style="547" hidden="1" customWidth="1"/>
    <col min="4373" max="4608" width="9.1796875" style="547"/>
    <col min="4609" max="4610" width="9.1796875" style="547" customWidth="1"/>
    <col min="4611" max="4611" width="15.54296875" style="547" customWidth="1"/>
    <col min="4612" max="4613" width="9.1796875" style="547" customWidth="1"/>
    <col min="4614" max="4614" width="19" style="547" customWidth="1"/>
    <col min="4615" max="4615" width="15.453125" style="547" customWidth="1"/>
    <col min="4616" max="4616" width="18.26953125" style="547" customWidth="1"/>
    <col min="4617" max="4617" width="9.1796875" style="547" customWidth="1"/>
    <col min="4618" max="4618" width="26.453125" style="547" customWidth="1"/>
    <col min="4619" max="4619" width="9.1796875" style="547" customWidth="1"/>
    <col min="4620" max="4620" width="11.7265625" style="547" customWidth="1"/>
    <col min="4621" max="4625" width="0" style="547" hidden="1" customWidth="1"/>
    <col min="4626" max="4626" width="9.1796875" style="547" customWidth="1"/>
    <col min="4627" max="4627" width="13" style="547" customWidth="1"/>
    <col min="4628" max="4628" width="0" style="547" hidden="1" customWidth="1"/>
    <col min="4629" max="4864" width="9.1796875" style="547"/>
    <col min="4865" max="4866" width="9.1796875" style="547" customWidth="1"/>
    <col min="4867" max="4867" width="15.54296875" style="547" customWidth="1"/>
    <col min="4868" max="4869" width="9.1796875" style="547" customWidth="1"/>
    <col min="4870" max="4870" width="19" style="547" customWidth="1"/>
    <col min="4871" max="4871" width="15.453125" style="547" customWidth="1"/>
    <col min="4872" max="4872" width="18.26953125" style="547" customWidth="1"/>
    <col min="4873" max="4873" width="9.1796875" style="547" customWidth="1"/>
    <col min="4874" max="4874" width="26.453125" style="547" customWidth="1"/>
    <col min="4875" max="4875" width="9.1796875" style="547" customWidth="1"/>
    <col min="4876" max="4876" width="11.7265625" style="547" customWidth="1"/>
    <col min="4877" max="4881" width="0" style="547" hidden="1" customWidth="1"/>
    <col min="4882" max="4882" width="9.1796875" style="547" customWidth="1"/>
    <col min="4883" max="4883" width="13" style="547" customWidth="1"/>
    <col min="4884" max="4884" width="0" style="547" hidden="1" customWidth="1"/>
    <col min="4885" max="5120" width="9.1796875" style="547"/>
    <col min="5121" max="5122" width="9.1796875" style="547" customWidth="1"/>
    <col min="5123" max="5123" width="15.54296875" style="547" customWidth="1"/>
    <col min="5124" max="5125" width="9.1796875" style="547" customWidth="1"/>
    <col min="5126" max="5126" width="19" style="547" customWidth="1"/>
    <col min="5127" max="5127" width="15.453125" style="547" customWidth="1"/>
    <col min="5128" max="5128" width="18.26953125" style="547" customWidth="1"/>
    <col min="5129" max="5129" width="9.1796875" style="547" customWidth="1"/>
    <col min="5130" max="5130" width="26.453125" style="547" customWidth="1"/>
    <col min="5131" max="5131" width="9.1796875" style="547" customWidth="1"/>
    <col min="5132" max="5132" width="11.7265625" style="547" customWidth="1"/>
    <col min="5133" max="5137" width="0" style="547" hidden="1" customWidth="1"/>
    <col min="5138" max="5138" width="9.1796875" style="547" customWidth="1"/>
    <col min="5139" max="5139" width="13" style="547" customWidth="1"/>
    <col min="5140" max="5140" width="0" style="547" hidden="1" customWidth="1"/>
    <col min="5141" max="5376" width="9.1796875" style="547"/>
    <col min="5377" max="5378" width="9.1796875" style="547" customWidth="1"/>
    <col min="5379" max="5379" width="15.54296875" style="547" customWidth="1"/>
    <col min="5380" max="5381" width="9.1796875" style="547" customWidth="1"/>
    <col min="5382" max="5382" width="19" style="547" customWidth="1"/>
    <col min="5383" max="5383" width="15.453125" style="547" customWidth="1"/>
    <col min="5384" max="5384" width="18.26953125" style="547" customWidth="1"/>
    <col min="5385" max="5385" width="9.1796875" style="547" customWidth="1"/>
    <col min="5386" max="5386" width="26.453125" style="547" customWidth="1"/>
    <col min="5387" max="5387" width="9.1796875" style="547" customWidth="1"/>
    <col min="5388" max="5388" width="11.7265625" style="547" customWidth="1"/>
    <col min="5389" max="5393" width="0" style="547" hidden="1" customWidth="1"/>
    <col min="5394" max="5394" width="9.1796875" style="547" customWidth="1"/>
    <col min="5395" max="5395" width="13" style="547" customWidth="1"/>
    <col min="5396" max="5396" width="0" style="547" hidden="1" customWidth="1"/>
    <col min="5397" max="5632" width="9.1796875" style="547"/>
    <col min="5633" max="5634" width="9.1796875" style="547" customWidth="1"/>
    <col min="5635" max="5635" width="15.54296875" style="547" customWidth="1"/>
    <col min="5636" max="5637" width="9.1796875" style="547" customWidth="1"/>
    <col min="5638" max="5638" width="19" style="547" customWidth="1"/>
    <col min="5639" max="5639" width="15.453125" style="547" customWidth="1"/>
    <col min="5640" max="5640" width="18.26953125" style="547" customWidth="1"/>
    <col min="5641" max="5641" width="9.1796875" style="547" customWidth="1"/>
    <col min="5642" max="5642" width="26.453125" style="547" customWidth="1"/>
    <col min="5643" max="5643" width="9.1796875" style="547" customWidth="1"/>
    <col min="5644" max="5644" width="11.7265625" style="547" customWidth="1"/>
    <col min="5645" max="5649" width="0" style="547" hidden="1" customWidth="1"/>
    <col min="5650" max="5650" width="9.1796875" style="547" customWidth="1"/>
    <col min="5651" max="5651" width="13" style="547" customWidth="1"/>
    <col min="5652" max="5652" width="0" style="547" hidden="1" customWidth="1"/>
    <col min="5653" max="5888" width="9.1796875" style="547"/>
    <col min="5889" max="5890" width="9.1796875" style="547" customWidth="1"/>
    <col min="5891" max="5891" width="15.54296875" style="547" customWidth="1"/>
    <col min="5892" max="5893" width="9.1796875" style="547" customWidth="1"/>
    <col min="5894" max="5894" width="19" style="547" customWidth="1"/>
    <col min="5895" max="5895" width="15.453125" style="547" customWidth="1"/>
    <col min="5896" max="5896" width="18.26953125" style="547" customWidth="1"/>
    <col min="5897" max="5897" width="9.1796875" style="547" customWidth="1"/>
    <col min="5898" max="5898" width="26.453125" style="547" customWidth="1"/>
    <col min="5899" max="5899" width="9.1796875" style="547" customWidth="1"/>
    <col min="5900" max="5900" width="11.7265625" style="547" customWidth="1"/>
    <col min="5901" max="5905" width="0" style="547" hidden="1" customWidth="1"/>
    <col min="5906" max="5906" width="9.1796875" style="547" customWidth="1"/>
    <col min="5907" max="5907" width="13" style="547" customWidth="1"/>
    <col min="5908" max="5908" width="0" style="547" hidden="1" customWidth="1"/>
    <col min="5909" max="6144" width="9.1796875" style="547"/>
    <col min="6145" max="6146" width="9.1796875" style="547" customWidth="1"/>
    <col min="6147" max="6147" width="15.54296875" style="547" customWidth="1"/>
    <col min="6148" max="6149" width="9.1796875" style="547" customWidth="1"/>
    <col min="6150" max="6150" width="19" style="547" customWidth="1"/>
    <col min="6151" max="6151" width="15.453125" style="547" customWidth="1"/>
    <col min="6152" max="6152" width="18.26953125" style="547" customWidth="1"/>
    <col min="6153" max="6153" width="9.1796875" style="547" customWidth="1"/>
    <col min="6154" max="6154" width="26.453125" style="547" customWidth="1"/>
    <col min="6155" max="6155" width="9.1796875" style="547" customWidth="1"/>
    <col min="6156" max="6156" width="11.7265625" style="547" customWidth="1"/>
    <col min="6157" max="6161" width="0" style="547" hidden="1" customWidth="1"/>
    <col min="6162" max="6162" width="9.1796875" style="547" customWidth="1"/>
    <col min="6163" max="6163" width="13" style="547" customWidth="1"/>
    <col min="6164" max="6164" width="0" style="547" hidden="1" customWidth="1"/>
    <col min="6165" max="6400" width="9.1796875" style="547"/>
    <col min="6401" max="6402" width="9.1796875" style="547" customWidth="1"/>
    <col min="6403" max="6403" width="15.54296875" style="547" customWidth="1"/>
    <col min="6404" max="6405" width="9.1796875" style="547" customWidth="1"/>
    <col min="6406" max="6406" width="19" style="547" customWidth="1"/>
    <col min="6407" max="6407" width="15.453125" style="547" customWidth="1"/>
    <col min="6408" max="6408" width="18.26953125" style="547" customWidth="1"/>
    <col min="6409" max="6409" width="9.1796875" style="547" customWidth="1"/>
    <col min="6410" max="6410" width="26.453125" style="547" customWidth="1"/>
    <col min="6411" max="6411" width="9.1796875" style="547" customWidth="1"/>
    <col min="6412" max="6412" width="11.7265625" style="547" customWidth="1"/>
    <col min="6413" max="6417" width="0" style="547" hidden="1" customWidth="1"/>
    <col min="6418" max="6418" width="9.1796875" style="547" customWidth="1"/>
    <col min="6419" max="6419" width="13" style="547" customWidth="1"/>
    <col min="6420" max="6420" width="0" style="547" hidden="1" customWidth="1"/>
    <col min="6421" max="6656" width="9.1796875" style="547"/>
    <col min="6657" max="6658" width="9.1796875" style="547" customWidth="1"/>
    <col min="6659" max="6659" width="15.54296875" style="547" customWidth="1"/>
    <col min="6660" max="6661" width="9.1796875" style="547" customWidth="1"/>
    <col min="6662" max="6662" width="19" style="547" customWidth="1"/>
    <col min="6663" max="6663" width="15.453125" style="547" customWidth="1"/>
    <col min="6664" max="6664" width="18.26953125" style="547" customWidth="1"/>
    <col min="6665" max="6665" width="9.1796875" style="547" customWidth="1"/>
    <col min="6666" max="6666" width="26.453125" style="547" customWidth="1"/>
    <col min="6667" max="6667" width="9.1796875" style="547" customWidth="1"/>
    <col min="6668" max="6668" width="11.7265625" style="547" customWidth="1"/>
    <col min="6669" max="6673" width="0" style="547" hidden="1" customWidth="1"/>
    <col min="6674" max="6674" width="9.1796875" style="547" customWidth="1"/>
    <col min="6675" max="6675" width="13" style="547" customWidth="1"/>
    <col min="6676" max="6676" width="0" style="547" hidden="1" customWidth="1"/>
    <col min="6677" max="6912" width="9.1796875" style="547"/>
    <col min="6913" max="6914" width="9.1796875" style="547" customWidth="1"/>
    <col min="6915" max="6915" width="15.54296875" style="547" customWidth="1"/>
    <col min="6916" max="6917" width="9.1796875" style="547" customWidth="1"/>
    <col min="6918" max="6918" width="19" style="547" customWidth="1"/>
    <col min="6919" max="6919" width="15.453125" style="547" customWidth="1"/>
    <col min="6920" max="6920" width="18.26953125" style="547" customWidth="1"/>
    <col min="6921" max="6921" width="9.1796875" style="547" customWidth="1"/>
    <col min="6922" max="6922" width="26.453125" style="547" customWidth="1"/>
    <col min="6923" max="6923" width="9.1796875" style="547" customWidth="1"/>
    <col min="6924" max="6924" width="11.7265625" style="547" customWidth="1"/>
    <col min="6925" max="6929" width="0" style="547" hidden="1" customWidth="1"/>
    <col min="6930" max="6930" width="9.1796875" style="547" customWidth="1"/>
    <col min="6931" max="6931" width="13" style="547" customWidth="1"/>
    <col min="6932" max="6932" width="0" style="547" hidden="1" customWidth="1"/>
    <col min="6933" max="7168" width="9.1796875" style="547"/>
    <col min="7169" max="7170" width="9.1796875" style="547" customWidth="1"/>
    <col min="7171" max="7171" width="15.54296875" style="547" customWidth="1"/>
    <col min="7172" max="7173" width="9.1796875" style="547" customWidth="1"/>
    <col min="7174" max="7174" width="19" style="547" customWidth="1"/>
    <col min="7175" max="7175" width="15.453125" style="547" customWidth="1"/>
    <col min="7176" max="7176" width="18.26953125" style="547" customWidth="1"/>
    <col min="7177" max="7177" width="9.1796875" style="547" customWidth="1"/>
    <col min="7178" max="7178" width="26.453125" style="547" customWidth="1"/>
    <col min="7179" max="7179" width="9.1796875" style="547" customWidth="1"/>
    <col min="7180" max="7180" width="11.7265625" style="547" customWidth="1"/>
    <col min="7181" max="7185" width="0" style="547" hidden="1" customWidth="1"/>
    <col min="7186" max="7186" width="9.1796875" style="547" customWidth="1"/>
    <col min="7187" max="7187" width="13" style="547" customWidth="1"/>
    <col min="7188" max="7188" width="0" style="547" hidden="1" customWidth="1"/>
    <col min="7189" max="7424" width="9.1796875" style="547"/>
    <col min="7425" max="7426" width="9.1796875" style="547" customWidth="1"/>
    <col min="7427" max="7427" width="15.54296875" style="547" customWidth="1"/>
    <col min="7428" max="7429" width="9.1796875" style="547" customWidth="1"/>
    <col min="7430" max="7430" width="19" style="547" customWidth="1"/>
    <col min="7431" max="7431" width="15.453125" style="547" customWidth="1"/>
    <col min="7432" max="7432" width="18.26953125" style="547" customWidth="1"/>
    <col min="7433" max="7433" width="9.1796875" style="547" customWidth="1"/>
    <col min="7434" max="7434" width="26.453125" style="547" customWidth="1"/>
    <col min="7435" max="7435" width="9.1796875" style="547" customWidth="1"/>
    <col min="7436" max="7436" width="11.7265625" style="547" customWidth="1"/>
    <col min="7437" max="7441" width="0" style="547" hidden="1" customWidth="1"/>
    <col min="7442" max="7442" width="9.1796875" style="547" customWidth="1"/>
    <col min="7443" max="7443" width="13" style="547" customWidth="1"/>
    <col min="7444" max="7444" width="0" style="547" hidden="1" customWidth="1"/>
    <col min="7445" max="7680" width="9.1796875" style="547"/>
    <col min="7681" max="7682" width="9.1796875" style="547" customWidth="1"/>
    <col min="7683" max="7683" width="15.54296875" style="547" customWidth="1"/>
    <col min="7684" max="7685" width="9.1796875" style="547" customWidth="1"/>
    <col min="7686" max="7686" width="19" style="547" customWidth="1"/>
    <col min="7687" max="7687" width="15.453125" style="547" customWidth="1"/>
    <col min="7688" max="7688" width="18.26953125" style="547" customWidth="1"/>
    <col min="7689" max="7689" width="9.1796875" style="547" customWidth="1"/>
    <col min="7690" max="7690" width="26.453125" style="547" customWidth="1"/>
    <col min="7691" max="7691" width="9.1796875" style="547" customWidth="1"/>
    <col min="7692" max="7692" width="11.7265625" style="547" customWidth="1"/>
    <col min="7693" max="7697" width="0" style="547" hidden="1" customWidth="1"/>
    <col min="7698" max="7698" width="9.1796875" style="547" customWidth="1"/>
    <col min="7699" max="7699" width="13" style="547" customWidth="1"/>
    <col min="7700" max="7700" width="0" style="547" hidden="1" customWidth="1"/>
    <col min="7701" max="7936" width="9.1796875" style="547"/>
    <col min="7937" max="7938" width="9.1796875" style="547" customWidth="1"/>
    <col min="7939" max="7939" width="15.54296875" style="547" customWidth="1"/>
    <col min="7940" max="7941" width="9.1796875" style="547" customWidth="1"/>
    <col min="7942" max="7942" width="19" style="547" customWidth="1"/>
    <col min="7943" max="7943" width="15.453125" style="547" customWidth="1"/>
    <col min="7944" max="7944" width="18.26953125" style="547" customWidth="1"/>
    <col min="7945" max="7945" width="9.1796875" style="547" customWidth="1"/>
    <col min="7946" max="7946" width="26.453125" style="547" customWidth="1"/>
    <col min="7947" max="7947" width="9.1796875" style="547" customWidth="1"/>
    <col min="7948" max="7948" width="11.7265625" style="547" customWidth="1"/>
    <col min="7949" max="7953" width="0" style="547" hidden="1" customWidth="1"/>
    <col min="7954" max="7954" width="9.1796875" style="547" customWidth="1"/>
    <col min="7955" max="7955" width="13" style="547" customWidth="1"/>
    <col min="7956" max="7956" width="0" style="547" hidden="1" customWidth="1"/>
    <col min="7957" max="8192" width="9.1796875" style="547"/>
    <col min="8193" max="8194" width="9.1796875" style="547" customWidth="1"/>
    <col min="8195" max="8195" width="15.54296875" style="547" customWidth="1"/>
    <col min="8196" max="8197" width="9.1796875" style="547" customWidth="1"/>
    <col min="8198" max="8198" width="19" style="547" customWidth="1"/>
    <col min="8199" max="8199" width="15.453125" style="547" customWidth="1"/>
    <col min="8200" max="8200" width="18.26953125" style="547" customWidth="1"/>
    <col min="8201" max="8201" width="9.1796875" style="547" customWidth="1"/>
    <col min="8202" max="8202" width="26.453125" style="547" customWidth="1"/>
    <col min="8203" max="8203" width="9.1796875" style="547" customWidth="1"/>
    <col min="8204" max="8204" width="11.7265625" style="547" customWidth="1"/>
    <col min="8205" max="8209" width="0" style="547" hidden="1" customWidth="1"/>
    <col min="8210" max="8210" width="9.1796875" style="547" customWidth="1"/>
    <col min="8211" max="8211" width="13" style="547" customWidth="1"/>
    <col min="8212" max="8212" width="0" style="547" hidden="1" customWidth="1"/>
    <col min="8213" max="8448" width="9.1796875" style="547"/>
    <col min="8449" max="8450" width="9.1796875" style="547" customWidth="1"/>
    <col min="8451" max="8451" width="15.54296875" style="547" customWidth="1"/>
    <col min="8452" max="8453" width="9.1796875" style="547" customWidth="1"/>
    <col min="8454" max="8454" width="19" style="547" customWidth="1"/>
    <col min="8455" max="8455" width="15.453125" style="547" customWidth="1"/>
    <col min="8456" max="8456" width="18.26953125" style="547" customWidth="1"/>
    <col min="8457" max="8457" width="9.1796875" style="547" customWidth="1"/>
    <col min="8458" max="8458" width="26.453125" style="547" customWidth="1"/>
    <col min="8459" max="8459" width="9.1796875" style="547" customWidth="1"/>
    <col min="8460" max="8460" width="11.7265625" style="547" customWidth="1"/>
    <col min="8461" max="8465" width="0" style="547" hidden="1" customWidth="1"/>
    <col min="8466" max="8466" width="9.1796875" style="547" customWidth="1"/>
    <col min="8467" max="8467" width="13" style="547" customWidth="1"/>
    <col min="8468" max="8468" width="0" style="547" hidden="1" customWidth="1"/>
    <col min="8469" max="8704" width="9.1796875" style="547"/>
    <col min="8705" max="8706" width="9.1796875" style="547" customWidth="1"/>
    <col min="8707" max="8707" width="15.54296875" style="547" customWidth="1"/>
    <col min="8708" max="8709" width="9.1796875" style="547" customWidth="1"/>
    <col min="8710" max="8710" width="19" style="547" customWidth="1"/>
    <col min="8711" max="8711" width="15.453125" style="547" customWidth="1"/>
    <col min="8712" max="8712" width="18.26953125" style="547" customWidth="1"/>
    <col min="8713" max="8713" width="9.1796875" style="547" customWidth="1"/>
    <col min="8714" max="8714" width="26.453125" style="547" customWidth="1"/>
    <col min="8715" max="8715" width="9.1796875" style="547" customWidth="1"/>
    <col min="8716" max="8716" width="11.7265625" style="547" customWidth="1"/>
    <col min="8717" max="8721" width="0" style="547" hidden="1" customWidth="1"/>
    <col min="8722" max="8722" width="9.1796875" style="547" customWidth="1"/>
    <col min="8723" max="8723" width="13" style="547" customWidth="1"/>
    <col min="8724" max="8724" width="0" style="547" hidden="1" customWidth="1"/>
    <col min="8725" max="8960" width="9.1796875" style="547"/>
    <col min="8961" max="8962" width="9.1796875" style="547" customWidth="1"/>
    <col min="8963" max="8963" width="15.54296875" style="547" customWidth="1"/>
    <col min="8964" max="8965" width="9.1796875" style="547" customWidth="1"/>
    <col min="8966" max="8966" width="19" style="547" customWidth="1"/>
    <col min="8967" max="8967" width="15.453125" style="547" customWidth="1"/>
    <col min="8968" max="8968" width="18.26953125" style="547" customWidth="1"/>
    <col min="8969" max="8969" width="9.1796875" style="547" customWidth="1"/>
    <col min="8970" max="8970" width="26.453125" style="547" customWidth="1"/>
    <col min="8971" max="8971" width="9.1796875" style="547" customWidth="1"/>
    <col min="8972" max="8972" width="11.7265625" style="547" customWidth="1"/>
    <col min="8973" max="8977" width="0" style="547" hidden="1" customWidth="1"/>
    <col min="8978" max="8978" width="9.1796875" style="547" customWidth="1"/>
    <col min="8979" max="8979" width="13" style="547" customWidth="1"/>
    <col min="8980" max="8980" width="0" style="547" hidden="1" customWidth="1"/>
    <col min="8981" max="9216" width="9.1796875" style="547"/>
    <col min="9217" max="9218" width="9.1796875" style="547" customWidth="1"/>
    <col min="9219" max="9219" width="15.54296875" style="547" customWidth="1"/>
    <col min="9220" max="9221" width="9.1796875" style="547" customWidth="1"/>
    <col min="9222" max="9222" width="19" style="547" customWidth="1"/>
    <col min="9223" max="9223" width="15.453125" style="547" customWidth="1"/>
    <col min="9224" max="9224" width="18.26953125" style="547" customWidth="1"/>
    <col min="9225" max="9225" width="9.1796875" style="547" customWidth="1"/>
    <col min="9226" max="9226" width="26.453125" style="547" customWidth="1"/>
    <col min="9227" max="9227" width="9.1796875" style="547" customWidth="1"/>
    <col min="9228" max="9228" width="11.7265625" style="547" customWidth="1"/>
    <col min="9229" max="9233" width="0" style="547" hidden="1" customWidth="1"/>
    <col min="9234" max="9234" width="9.1796875" style="547" customWidth="1"/>
    <col min="9235" max="9235" width="13" style="547" customWidth="1"/>
    <col min="9236" max="9236" width="0" style="547" hidden="1" customWidth="1"/>
    <col min="9237" max="9472" width="9.1796875" style="547"/>
    <col min="9473" max="9474" width="9.1796875" style="547" customWidth="1"/>
    <col min="9475" max="9475" width="15.54296875" style="547" customWidth="1"/>
    <col min="9476" max="9477" width="9.1796875" style="547" customWidth="1"/>
    <col min="9478" max="9478" width="19" style="547" customWidth="1"/>
    <col min="9479" max="9479" width="15.453125" style="547" customWidth="1"/>
    <col min="9480" max="9480" width="18.26953125" style="547" customWidth="1"/>
    <col min="9481" max="9481" width="9.1796875" style="547" customWidth="1"/>
    <col min="9482" max="9482" width="26.453125" style="547" customWidth="1"/>
    <col min="9483" max="9483" width="9.1796875" style="547" customWidth="1"/>
    <col min="9484" max="9484" width="11.7265625" style="547" customWidth="1"/>
    <col min="9485" max="9489" width="0" style="547" hidden="1" customWidth="1"/>
    <col min="9490" max="9490" width="9.1796875" style="547" customWidth="1"/>
    <col min="9491" max="9491" width="13" style="547" customWidth="1"/>
    <col min="9492" max="9492" width="0" style="547" hidden="1" customWidth="1"/>
    <col min="9493" max="9728" width="9.1796875" style="547"/>
    <col min="9729" max="9730" width="9.1796875" style="547" customWidth="1"/>
    <col min="9731" max="9731" width="15.54296875" style="547" customWidth="1"/>
    <col min="9732" max="9733" width="9.1796875" style="547" customWidth="1"/>
    <col min="9734" max="9734" width="19" style="547" customWidth="1"/>
    <col min="9735" max="9735" width="15.453125" style="547" customWidth="1"/>
    <col min="9736" max="9736" width="18.26953125" style="547" customWidth="1"/>
    <col min="9737" max="9737" width="9.1796875" style="547" customWidth="1"/>
    <col min="9738" max="9738" width="26.453125" style="547" customWidth="1"/>
    <col min="9739" max="9739" width="9.1796875" style="547" customWidth="1"/>
    <col min="9740" max="9740" width="11.7265625" style="547" customWidth="1"/>
    <col min="9741" max="9745" width="0" style="547" hidden="1" customWidth="1"/>
    <col min="9746" max="9746" width="9.1796875" style="547" customWidth="1"/>
    <col min="9747" max="9747" width="13" style="547" customWidth="1"/>
    <col min="9748" max="9748" width="0" style="547" hidden="1" customWidth="1"/>
    <col min="9749" max="9984" width="9.1796875" style="547"/>
    <col min="9985" max="9986" width="9.1796875" style="547" customWidth="1"/>
    <col min="9987" max="9987" width="15.54296875" style="547" customWidth="1"/>
    <col min="9988" max="9989" width="9.1796875" style="547" customWidth="1"/>
    <col min="9990" max="9990" width="19" style="547" customWidth="1"/>
    <col min="9991" max="9991" width="15.453125" style="547" customWidth="1"/>
    <col min="9992" max="9992" width="18.26953125" style="547" customWidth="1"/>
    <col min="9993" max="9993" width="9.1796875" style="547" customWidth="1"/>
    <col min="9994" max="9994" width="26.453125" style="547" customWidth="1"/>
    <col min="9995" max="9995" width="9.1796875" style="547" customWidth="1"/>
    <col min="9996" max="9996" width="11.7265625" style="547" customWidth="1"/>
    <col min="9997" max="10001" width="0" style="547" hidden="1" customWidth="1"/>
    <col min="10002" max="10002" width="9.1796875" style="547" customWidth="1"/>
    <col min="10003" max="10003" width="13" style="547" customWidth="1"/>
    <col min="10004" max="10004" width="0" style="547" hidden="1" customWidth="1"/>
    <col min="10005" max="10240" width="9.1796875" style="547"/>
    <col min="10241" max="10242" width="9.1796875" style="547" customWidth="1"/>
    <col min="10243" max="10243" width="15.54296875" style="547" customWidth="1"/>
    <col min="10244" max="10245" width="9.1796875" style="547" customWidth="1"/>
    <col min="10246" max="10246" width="19" style="547" customWidth="1"/>
    <col min="10247" max="10247" width="15.453125" style="547" customWidth="1"/>
    <col min="10248" max="10248" width="18.26953125" style="547" customWidth="1"/>
    <col min="10249" max="10249" width="9.1796875" style="547" customWidth="1"/>
    <col min="10250" max="10250" width="26.453125" style="547" customWidth="1"/>
    <col min="10251" max="10251" width="9.1796875" style="547" customWidth="1"/>
    <col min="10252" max="10252" width="11.7265625" style="547" customWidth="1"/>
    <col min="10253" max="10257" width="0" style="547" hidden="1" customWidth="1"/>
    <col min="10258" max="10258" width="9.1796875" style="547" customWidth="1"/>
    <col min="10259" max="10259" width="13" style="547" customWidth="1"/>
    <col min="10260" max="10260" width="0" style="547" hidden="1" customWidth="1"/>
    <col min="10261" max="10496" width="9.1796875" style="547"/>
    <col min="10497" max="10498" width="9.1796875" style="547" customWidth="1"/>
    <col min="10499" max="10499" width="15.54296875" style="547" customWidth="1"/>
    <col min="10500" max="10501" width="9.1796875" style="547" customWidth="1"/>
    <col min="10502" max="10502" width="19" style="547" customWidth="1"/>
    <col min="10503" max="10503" width="15.453125" style="547" customWidth="1"/>
    <col min="10504" max="10504" width="18.26953125" style="547" customWidth="1"/>
    <col min="10505" max="10505" width="9.1796875" style="547" customWidth="1"/>
    <col min="10506" max="10506" width="26.453125" style="547" customWidth="1"/>
    <col min="10507" max="10507" width="9.1796875" style="547" customWidth="1"/>
    <col min="10508" max="10508" width="11.7265625" style="547" customWidth="1"/>
    <col min="10509" max="10513" width="0" style="547" hidden="1" customWidth="1"/>
    <col min="10514" max="10514" width="9.1796875" style="547" customWidth="1"/>
    <col min="10515" max="10515" width="13" style="547" customWidth="1"/>
    <col min="10516" max="10516" width="0" style="547" hidden="1" customWidth="1"/>
    <col min="10517" max="10752" width="9.1796875" style="547"/>
    <col min="10753" max="10754" width="9.1796875" style="547" customWidth="1"/>
    <col min="10755" max="10755" width="15.54296875" style="547" customWidth="1"/>
    <col min="10756" max="10757" width="9.1796875" style="547" customWidth="1"/>
    <col min="10758" max="10758" width="19" style="547" customWidth="1"/>
    <col min="10759" max="10759" width="15.453125" style="547" customWidth="1"/>
    <col min="10760" max="10760" width="18.26953125" style="547" customWidth="1"/>
    <col min="10761" max="10761" width="9.1796875" style="547" customWidth="1"/>
    <col min="10762" max="10762" width="26.453125" style="547" customWidth="1"/>
    <col min="10763" max="10763" width="9.1796875" style="547" customWidth="1"/>
    <col min="10764" max="10764" width="11.7265625" style="547" customWidth="1"/>
    <col min="10765" max="10769" width="0" style="547" hidden="1" customWidth="1"/>
    <col min="10770" max="10770" width="9.1796875" style="547" customWidth="1"/>
    <col min="10771" max="10771" width="13" style="547" customWidth="1"/>
    <col min="10772" max="10772" width="0" style="547" hidden="1" customWidth="1"/>
    <col min="10773" max="11008" width="9.1796875" style="547"/>
    <col min="11009" max="11010" width="9.1796875" style="547" customWidth="1"/>
    <col min="11011" max="11011" width="15.54296875" style="547" customWidth="1"/>
    <col min="11012" max="11013" width="9.1796875" style="547" customWidth="1"/>
    <col min="11014" max="11014" width="19" style="547" customWidth="1"/>
    <col min="11015" max="11015" width="15.453125" style="547" customWidth="1"/>
    <col min="11016" max="11016" width="18.26953125" style="547" customWidth="1"/>
    <col min="11017" max="11017" width="9.1796875" style="547" customWidth="1"/>
    <col min="11018" max="11018" width="26.453125" style="547" customWidth="1"/>
    <col min="11019" max="11019" width="9.1796875" style="547" customWidth="1"/>
    <col min="11020" max="11020" width="11.7265625" style="547" customWidth="1"/>
    <col min="11021" max="11025" width="0" style="547" hidden="1" customWidth="1"/>
    <col min="11026" max="11026" width="9.1796875" style="547" customWidth="1"/>
    <col min="11027" max="11027" width="13" style="547" customWidth="1"/>
    <col min="11028" max="11028" width="0" style="547" hidden="1" customWidth="1"/>
    <col min="11029" max="11264" width="9.1796875" style="547"/>
    <col min="11265" max="11266" width="9.1796875" style="547" customWidth="1"/>
    <col min="11267" max="11267" width="15.54296875" style="547" customWidth="1"/>
    <col min="11268" max="11269" width="9.1796875" style="547" customWidth="1"/>
    <col min="11270" max="11270" width="19" style="547" customWidth="1"/>
    <col min="11271" max="11271" width="15.453125" style="547" customWidth="1"/>
    <col min="11272" max="11272" width="18.26953125" style="547" customWidth="1"/>
    <col min="11273" max="11273" width="9.1796875" style="547" customWidth="1"/>
    <col min="11274" max="11274" width="26.453125" style="547" customWidth="1"/>
    <col min="11275" max="11275" width="9.1796875" style="547" customWidth="1"/>
    <col min="11276" max="11276" width="11.7265625" style="547" customWidth="1"/>
    <col min="11277" max="11281" width="0" style="547" hidden="1" customWidth="1"/>
    <col min="11282" max="11282" width="9.1796875" style="547" customWidth="1"/>
    <col min="11283" max="11283" width="13" style="547" customWidth="1"/>
    <col min="11284" max="11284" width="0" style="547" hidden="1" customWidth="1"/>
    <col min="11285" max="11520" width="9.1796875" style="547"/>
    <col min="11521" max="11522" width="9.1796875" style="547" customWidth="1"/>
    <col min="11523" max="11523" width="15.54296875" style="547" customWidth="1"/>
    <col min="11524" max="11525" width="9.1796875" style="547" customWidth="1"/>
    <col min="11526" max="11526" width="19" style="547" customWidth="1"/>
    <col min="11527" max="11527" width="15.453125" style="547" customWidth="1"/>
    <col min="11528" max="11528" width="18.26953125" style="547" customWidth="1"/>
    <col min="11529" max="11529" width="9.1796875" style="547" customWidth="1"/>
    <col min="11530" max="11530" width="26.453125" style="547" customWidth="1"/>
    <col min="11531" max="11531" width="9.1796875" style="547" customWidth="1"/>
    <col min="11532" max="11532" width="11.7265625" style="547" customWidth="1"/>
    <col min="11533" max="11537" width="0" style="547" hidden="1" customWidth="1"/>
    <col min="11538" max="11538" width="9.1796875" style="547" customWidth="1"/>
    <col min="11539" max="11539" width="13" style="547" customWidth="1"/>
    <col min="11540" max="11540" width="0" style="547" hidden="1" customWidth="1"/>
    <col min="11541" max="11776" width="9.1796875" style="547"/>
    <col min="11777" max="11778" width="9.1796875" style="547" customWidth="1"/>
    <col min="11779" max="11779" width="15.54296875" style="547" customWidth="1"/>
    <col min="11780" max="11781" width="9.1796875" style="547" customWidth="1"/>
    <col min="11782" max="11782" width="19" style="547" customWidth="1"/>
    <col min="11783" max="11783" width="15.453125" style="547" customWidth="1"/>
    <col min="11784" max="11784" width="18.26953125" style="547" customWidth="1"/>
    <col min="11785" max="11785" width="9.1796875" style="547" customWidth="1"/>
    <col min="11786" max="11786" width="26.453125" style="547" customWidth="1"/>
    <col min="11787" max="11787" width="9.1796875" style="547" customWidth="1"/>
    <col min="11788" max="11788" width="11.7265625" style="547" customWidth="1"/>
    <col min="11789" max="11793" width="0" style="547" hidden="1" customWidth="1"/>
    <col min="11794" max="11794" width="9.1796875" style="547" customWidth="1"/>
    <col min="11795" max="11795" width="13" style="547" customWidth="1"/>
    <col min="11796" max="11796" width="0" style="547" hidden="1" customWidth="1"/>
    <col min="11797" max="12032" width="9.1796875" style="547"/>
    <col min="12033" max="12034" width="9.1796875" style="547" customWidth="1"/>
    <col min="12035" max="12035" width="15.54296875" style="547" customWidth="1"/>
    <col min="12036" max="12037" width="9.1796875" style="547" customWidth="1"/>
    <col min="12038" max="12038" width="19" style="547" customWidth="1"/>
    <col min="12039" max="12039" width="15.453125" style="547" customWidth="1"/>
    <col min="12040" max="12040" width="18.26953125" style="547" customWidth="1"/>
    <col min="12041" max="12041" width="9.1796875" style="547" customWidth="1"/>
    <col min="12042" max="12042" width="26.453125" style="547" customWidth="1"/>
    <col min="12043" max="12043" width="9.1796875" style="547" customWidth="1"/>
    <col min="12044" max="12044" width="11.7265625" style="547" customWidth="1"/>
    <col min="12045" max="12049" width="0" style="547" hidden="1" customWidth="1"/>
    <col min="12050" max="12050" width="9.1796875" style="547" customWidth="1"/>
    <col min="12051" max="12051" width="13" style="547" customWidth="1"/>
    <col min="12052" max="12052" width="0" style="547" hidden="1" customWidth="1"/>
    <col min="12053" max="12288" width="9.1796875" style="547"/>
    <col min="12289" max="12290" width="9.1796875" style="547" customWidth="1"/>
    <col min="12291" max="12291" width="15.54296875" style="547" customWidth="1"/>
    <col min="12292" max="12293" width="9.1796875" style="547" customWidth="1"/>
    <col min="12294" max="12294" width="19" style="547" customWidth="1"/>
    <col min="12295" max="12295" width="15.453125" style="547" customWidth="1"/>
    <col min="12296" max="12296" width="18.26953125" style="547" customWidth="1"/>
    <col min="12297" max="12297" width="9.1796875" style="547" customWidth="1"/>
    <col min="12298" max="12298" width="26.453125" style="547" customWidth="1"/>
    <col min="12299" max="12299" width="9.1796875" style="547" customWidth="1"/>
    <col min="12300" max="12300" width="11.7265625" style="547" customWidth="1"/>
    <col min="12301" max="12305" width="0" style="547" hidden="1" customWidth="1"/>
    <col min="12306" max="12306" width="9.1796875" style="547" customWidth="1"/>
    <col min="12307" max="12307" width="13" style="547" customWidth="1"/>
    <col min="12308" max="12308" width="0" style="547" hidden="1" customWidth="1"/>
    <col min="12309" max="12544" width="9.1796875" style="547"/>
    <col min="12545" max="12546" width="9.1796875" style="547" customWidth="1"/>
    <col min="12547" max="12547" width="15.54296875" style="547" customWidth="1"/>
    <col min="12548" max="12549" width="9.1796875" style="547" customWidth="1"/>
    <col min="12550" max="12550" width="19" style="547" customWidth="1"/>
    <col min="12551" max="12551" width="15.453125" style="547" customWidth="1"/>
    <col min="12552" max="12552" width="18.26953125" style="547" customWidth="1"/>
    <col min="12553" max="12553" width="9.1796875" style="547" customWidth="1"/>
    <col min="12554" max="12554" width="26.453125" style="547" customWidth="1"/>
    <col min="12555" max="12555" width="9.1796875" style="547" customWidth="1"/>
    <col min="12556" max="12556" width="11.7265625" style="547" customWidth="1"/>
    <col min="12557" max="12561" width="0" style="547" hidden="1" customWidth="1"/>
    <col min="12562" max="12562" width="9.1796875" style="547" customWidth="1"/>
    <col min="12563" max="12563" width="13" style="547" customWidth="1"/>
    <col min="12564" max="12564" width="0" style="547" hidden="1" customWidth="1"/>
    <col min="12565" max="12800" width="9.1796875" style="547"/>
    <col min="12801" max="12802" width="9.1796875" style="547" customWidth="1"/>
    <col min="12803" max="12803" width="15.54296875" style="547" customWidth="1"/>
    <col min="12804" max="12805" width="9.1796875" style="547" customWidth="1"/>
    <col min="12806" max="12806" width="19" style="547" customWidth="1"/>
    <col min="12807" max="12807" width="15.453125" style="547" customWidth="1"/>
    <col min="12808" max="12808" width="18.26953125" style="547" customWidth="1"/>
    <col min="12809" max="12809" width="9.1796875" style="547" customWidth="1"/>
    <col min="12810" max="12810" width="26.453125" style="547" customWidth="1"/>
    <col min="12811" max="12811" width="9.1796875" style="547" customWidth="1"/>
    <col min="12812" max="12812" width="11.7265625" style="547" customWidth="1"/>
    <col min="12813" max="12817" width="0" style="547" hidden="1" customWidth="1"/>
    <col min="12818" max="12818" width="9.1796875" style="547" customWidth="1"/>
    <col min="12819" max="12819" width="13" style="547" customWidth="1"/>
    <col min="12820" max="12820" width="0" style="547" hidden="1" customWidth="1"/>
    <col min="12821" max="13056" width="9.1796875" style="547"/>
    <col min="13057" max="13058" width="9.1796875" style="547" customWidth="1"/>
    <col min="13059" max="13059" width="15.54296875" style="547" customWidth="1"/>
    <col min="13060" max="13061" width="9.1796875" style="547" customWidth="1"/>
    <col min="13062" max="13062" width="19" style="547" customWidth="1"/>
    <col min="13063" max="13063" width="15.453125" style="547" customWidth="1"/>
    <col min="13064" max="13064" width="18.26953125" style="547" customWidth="1"/>
    <col min="13065" max="13065" width="9.1796875" style="547" customWidth="1"/>
    <col min="13066" max="13066" width="26.453125" style="547" customWidth="1"/>
    <col min="13067" max="13067" width="9.1796875" style="547" customWidth="1"/>
    <col min="13068" max="13068" width="11.7265625" style="547" customWidth="1"/>
    <col min="13069" max="13073" width="0" style="547" hidden="1" customWidth="1"/>
    <col min="13074" max="13074" width="9.1796875" style="547" customWidth="1"/>
    <col min="13075" max="13075" width="13" style="547" customWidth="1"/>
    <col min="13076" max="13076" width="0" style="547" hidden="1" customWidth="1"/>
    <col min="13077" max="13312" width="9.1796875" style="547"/>
    <col min="13313" max="13314" width="9.1796875" style="547" customWidth="1"/>
    <col min="13315" max="13315" width="15.54296875" style="547" customWidth="1"/>
    <col min="13316" max="13317" width="9.1796875" style="547" customWidth="1"/>
    <col min="13318" max="13318" width="19" style="547" customWidth="1"/>
    <col min="13319" max="13319" width="15.453125" style="547" customWidth="1"/>
    <col min="13320" max="13320" width="18.26953125" style="547" customWidth="1"/>
    <col min="13321" max="13321" width="9.1796875" style="547" customWidth="1"/>
    <col min="13322" max="13322" width="26.453125" style="547" customWidth="1"/>
    <col min="13323" max="13323" width="9.1796875" style="547" customWidth="1"/>
    <col min="13324" max="13324" width="11.7265625" style="547" customWidth="1"/>
    <col min="13325" max="13329" width="0" style="547" hidden="1" customWidth="1"/>
    <col min="13330" max="13330" width="9.1796875" style="547" customWidth="1"/>
    <col min="13331" max="13331" width="13" style="547" customWidth="1"/>
    <col min="13332" max="13332" width="0" style="547" hidden="1" customWidth="1"/>
    <col min="13333" max="13568" width="9.1796875" style="547"/>
    <col min="13569" max="13570" width="9.1796875" style="547" customWidth="1"/>
    <col min="13571" max="13571" width="15.54296875" style="547" customWidth="1"/>
    <col min="13572" max="13573" width="9.1796875" style="547" customWidth="1"/>
    <col min="13574" max="13574" width="19" style="547" customWidth="1"/>
    <col min="13575" max="13575" width="15.453125" style="547" customWidth="1"/>
    <col min="13576" max="13576" width="18.26953125" style="547" customWidth="1"/>
    <col min="13577" max="13577" width="9.1796875" style="547" customWidth="1"/>
    <col min="13578" max="13578" width="26.453125" style="547" customWidth="1"/>
    <col min="13579" max="13579" width="9.1796875" style="547" customWidth="1"/>
    <col min="13580" max="13580" width="11.7265625" style="547" customWidth="1"/>
    <col min="13581" max="13585" width="0" style="547" hidden="1" customWidth="1"/>
    <col min="13586" max="13586" width="9.1796875" style="547" customWidth="1"/>
    <col min="13587" max="13587" width="13" style="547" customWidth="1"/>
    <col min="13588" max="13588" width="0" style="547" hidden="1" customWidth="1"/>
    <col min="13589" max="13824" width="9.1796875" style="547"/>
    <col min="13825" max="13826" width="9.1796875" style="547" customWidth="1"/>
    <col min="13827" max="13827" width="15.54296875" style="547" customWidth="1"/>
    <col min="13828" max="13829" width="9.1796875" style="547" customWidth="1"/>
    <col min="13830" max="13830" width="19" style="547" customWidth="1"/>
    <col min="13831" max="13831" width="15.453125" style="547" customWidth="1"/>
    <col min="13832" max="13832" width="18.26953125" style="547" customWidth="1"/>
    <col min="13833" max="13833" width="9.1796875" style="547" customWidth="1"/>
    <col min="13834" max="13834" width="26.453125" style="547" customWidth="1"/>
    <col min="13835" max="13835" width="9.1796875" style="547" customWidth="1"/>
    <col min="13836" max="13836" width="11.7265625" style="547" customWidth="1"/>
    <col min="13837" max="13841" width="0" style="547" hidden="1" customWidth="1"/>
    <col min="13842" max="13842" width="9.1796875" style="547" customWidth="1"/>
    <col min="13843" max="13843" width="13" style="547" customWidth="1"/>
    <col min="13844" max="13844" width="0" style="547" hidden="1" customWidth="1"/>
    <col min="13845" max="14080" width="9.1796875" style="547"/>
    <col min="14081" max="14082" width="9.1796875" style="547" customWidth="1"/>
    <col min="14083" max="14083" width="15.54296875" style="547" customWidth="1"/>
    <col min="14084" max="14085" width="9.1796875" style="547" customWidth="1"/>
    <col min="14086" max="14086" width="19" style="547" customWidth="1"/>
    <col min="14087" max="14087" width="15.453125" style="547" customWidth="1"/>
    <col min="14088" max="14088" width="18.26953125" style="547" customWidth="1"/>
    <col min="14089" max="14089" width="9.1796875" style="547" customWidth="1"/>
    <col min="14090" max="14090" width="26.453125" style="547" customWidth="1"/>
    <col min="14091" max="14091" width="9.1796875" style="547" customWidth="1"/>
    <col min="14092" max="14092" width="11.7265625" style="547" customWidth="1"/>
    <col min="14093" max="14097" width="0" style="547" hidden="1" customWidth="1"/>
    <col min="14098" max="14098" width="9.1796875" style="547" customWidth="1"/>
    <col min="14099" max="14099" width="13" style="547" customWidth="1"/>
    <col min="14100" max="14100" width="0" style="547" hidden="1" customWidth="1"/>
    <col min="14101" max="14336" width="9.1796875" style="547"/>
    <col min="14337" max="14338" width="9.1796875" style="547" customWidth="1"/>
    <col min="14339" max="14339" width="15.54296875" style="547" customWidth="1"/>
    <col min="14340" max="14341" width="9.1796875" style="547" customWidth="1"/>
    <col min="14342" max="14342" width="19" style="547" customWidth="1"/>
    <col min="14343" max="14343" width="15.453125" style="547" customWidth="1"/>
    <col min="14344" max="14344" width="18.26953125" style="547" customWidth="1"/>
    <col min="14345" max="14345" width="9.1796875" style="547" customWidth="1"/>
    <col min="14346" max="14346" width="26.453125" style="547" customWidth="1"/>
    <col min="14347" max="14347" width="9.1796875" style="547" customWidth="1"/>
    <col min="14348" max="14348" width="11.7265625" style="547" customWidth="1"/>
    <col min="14349" max="14353" width="0" style="547" hidden="1" customWidth="1"/>
    <col min="14354" max="14354" width="9.1796875" style="547" customWidth="1"/>
    <col min="14355" max="14355" width="13" style="547" customWidth="1"/>
    <col min="14356" max="14356" width="0" style="547" hidden="1" customWidth="1"/>
    <col min="14357" max="14592" width="9.1796875" style="547"/>
    <col min="14593" max="14594" width="9.1796875" style="547" customWidth="1"/>
    <col min="14595" max="14595" width="15.54296875" style="547" customWidth="1"/>
    <col min="14596" max="14597" width="9.1796875" style="547" customWidth="1"/>
    <col min="14598" max="14598" width="19" style="547" customWidth="1"/>
    <col min="14599" max="14599" width="15.453125" style="547" customWidth="1"/>
    <col min="14600" max="14600" width="18.26953125" style="547" customWidth="1"/>
    <col min="14601" max="14601" width="9.1796875" style="547" customWidth="1"/>
    <col min="14602" max="14602" width="26.453125" style="547" customWidth="1"/>
    <col min="14603" max="14603" width="9.1796875" style="547" customWidth="1"/>
    <col min="14604" max="14604" width="11.7265625" style="547" customWidth="1"/>
    <col min="14605" max="14609" width="0" style="547" hidden="1" customWidth="1"/>
    <col min="14610" max="14610" width="9.1796875" style="547" customWidth="1"/>
    <col min="14611" max="14611" width="13" style="547" customWidth="1"/>
    <col min="14612" max="14612" width="0" style="547" hidden="1" customWidth="1"/>
    <col min="14613" max="14848" width="9.1796875" style="547"/>
    <col min="14849" max="14850" width="9.1796875" style="547" customWidth="1"/>
    <col min="14851" max="14851" width="15.54296875" style="547" customWidth="1"/>
    <col min="14852" max="14853" width="9.1796875" style="547" customWidth="1"/>
    <col min="14854" max="14854" width="19" style="547" customWidth="1"/>
    <col min="14855" max="14855" width="15.453125" style="547" customWidth="1"/>
    <col min="14856" max="14856" width="18.26953125" style="547" customWidth="1"/>
    <col min="14857" max="14857" width="9.1796875" style="547" customWidth="1"/>
    <col min="14858" max="14858" width="26.453125" style="547" customWidth="1"/>
    <col min="14859" max="14859" width="9.1796875" style="547" customWidth="1"/>
    <col min="14860" max="14860" width="11.7265625" style="547" customWidth="1"/>
    <col min="14861" max="14865" width="0" style="547" hidden="1" customWidth="1"/>
    <col min="14866" max="14866" width="9.1796875" style="547" customWidth="1"/>
    <col min="14867" max="14867" width="13" style="547" customWidth="1"/>
    <col min="14868" max="14868" width="0" style="547" hidden="1" customWidth="1"/>
    <col min="14869" max="15104" width="9.1796875" style="547"/>
    <col min="15105" max="15106" width="9.1796875" style="547" customWidth="1"/>
    <col min="15107" max="15107" width="15.54296875" style="547" customWidth="1"/>
    <col min="15108" max="15109" width="9.1796875" style="547" customWidth="1"/>
    <col min="15110" max="15110" width="19" style="547" customWidth="1"/>
    <col min="15111" max="15111" width="15.453125" style="547" customWidth="1"/>
    <col min="15112" max="15112" width="18.26953125" style="547" customWidth="1"/>
    <col min="15113" max="15113" width="9.1796875" style="547" customWidth="1"/>
    <col min="15114" max="15114" width="26.453125" style="547" customWidth="1"/>
    <col min="15115" max="15115" width="9.1796875" style="547" customWidth="1"/>
    <col min="15116" max="15116" width="11.7265625" style="547" customWidth="1"/>
    <col min="15117" max="15121" width="0" style="547" hidden="1" customWidth="1"/>
    <col min="15122" max="15122" width="9.1796875" style="547" customWidth="1"/>
    <col min="15123" max="15123" width="13" style="547" customWidth="1"/>
    <col min="15124" max="15124" width="0" style="547" hidden="1" customWidth="1"/>
    <col min="15125" max="15360" width="9.1796875" style="547"/>
    <col min="15361" max="15362" width="9.1796875" style="547" customWidth="1"/>
    <col min="15363" max="15363" width="15.54296875" style="547" customWidth="1"/>
    <col min="15364" max="15365" width="9.1796875" style="547" customWidth="1"/>
    <col min="15366" max="15366" width="19" style="547" customWidth="1"/>
    <col min="15367" max="15367" width="15.453125" style="547" customWidth="1"/>
    <col min="15368" max="15368" width="18.26953125" style="547" customWidth="1"/>
    <col min="15369" max="15369" width="9.1796875" style="547" customWidth="1"/>
    <col min="15370" max="15370" width="26.453125" style="547" customWidth="1"/>
    <col min="15371" max="15371" width="9.1796875" style="547" customWidth="1"/>
    <col min="15372" max="15372" width="11.7265625" style="547" customWidth="1"/>
    <col min="15373" max="15377" width="0" style="547" hidden="1" customWidth="1"/>
    <col min="15378" max="15378" width="9.1796875" style="547" customWidth="1"/>
    <col min="15379" max="15379" width="13" style="547" customWidth="1"/>
    <col min="15380" max="15380" width="0" style="547" hidden="1" customWidth="1"/>
    <col min="15381" max="15616" width="9.1796875" style="547"/>
    <col min="15617" max="15618" width="9.1796875" style="547" customWidth="1"/>
    <col min="15619" max="15619" width="15.54296875" style="547" customWidth="1"/>
    <col min="15620" max="15621" width="9.1796875" style="547" customWidth="1"/>
    <col min="15622" max="15622" width="19" style="547" customWidth="1"/>
    <col min="15623" max="15623" width="15.453125" style="547" customWidth="1"/>
    <col min="15624" max="15624" width="18.26953125" style="547" customWidth="1"/>
    <col min="15625" max="15625" width="9.1796875" style="547" customWidth="1"/>
    <col min="15626" max="15626" width="26.453125" style="547" customWidth="1"/>
    <col min="15627" max="15627" width="9.1796875" style="547" customWidth="1"/>
    <col min="15628" max="15628" width="11.7265625" style="547" customWidth="1"/>
    <col min="15629" max="15633" width="0" style="547" hidden="1" customWidth="1"/>
    <col min="15634" max="15634" width="9.1796875" style="547" customWidth="1"/>
    <col min="15635" max="15635" width="13" style="547" customWidth="1"/>
    <col min="15636" max="15636" width="0" style="547" hidden="1" customWidth="1"/>
    <col min="15637" max="15872" width="9.1796875" style="547"/>
    <col min="15873" max="15874" width="9.1796875" style="547" customWidth="1"/>
    <col min="15875" max="15875" width="15.54296875" style="547" customWidth="1"/>
    <col min="15876" max="15877" width="9.1796875" style="547" customWidth="1"/>
    <col min="15878" max="15878" width="19" style="547" customWidth="1"/>
    <col min="15879" max="15879" width="15.453125" style="547" customWidth="1"/>
    <col min="15880" max="15880" width="18.26953125" style="547" customWidth="1"/>
    <col min="15881" max="15881" width="9.1796875" style="547" customWidth="1"/>
    <col min="15882" max="15882" width="26.453125" style="547" customWidth="1"/>
    <col min="15883" max="15883" width="9.1796875" style="547" customWidth="1"/>
    <col min="15884" max="15884" width="11.7265625" style="547" customWidth="1"/>
    <col min="15885" max="15889" width="0" style="547" hidden="1" customWidth="1"/>
    <col min="15890" max="15890" width="9.1796875" style="547" customWidth="1"/>
    <col min="15891" max="15891" width="13" style="547" customWidth="1"/>
    <col min="15892" max="15892" width="0" style="547" hidden="1" customWidth="1"/>
    <col min="15893" max="16128" width="9.1796875" style="547"/>
    <col min="16129" max="16130" width="9.1796875" style="547" customWidth="1"/>
    <col min="16131" max="16131" width="15.54296875" style="547" customWidth="1"/>
    <col min="16132" max="16133" width="9.1796875" style="547" customWidth="1"/>
    <col min="16134" max="16134" width="19" style="547" customWidth="1"/>
    <col min="16135" max="16135" width="15.453125" style="547" customWidth="1"/>
    <col min="16136" max="16136" width="18.26953125" style="547" customWidth="1"/>
    <col min="16137" max="16137" width="9.1796875" style="547" customWidth="1"/>
    <col min="16138" max="16138" width="26.453125" style="547" customWidth="1"/>
    <col min="16139" max="16139" width="9.1796875" style="547" customWidth="1"/>
    <col min="16140" max="16140" width="11.7265625" style="547" customWidth="1"/>
    <col min="16141" max="16145" width="0" style="547" hidden="1" customWidth="1"/>
    <col min="16146" max="16146" width="9.1796875" style="547" customWidth="1"/>
    <col min="16147" max="16147" width="13" style="547" customWidth="1"/>
    <col min="16148" max="16148" width="0" style="547" hidden="1" customWidth="1"/>
    <col min="16149" max="16384" width="9.1796875" style="547"/>
  </cols>
  <sheetData>
    <row r="1" spans="8:20" hidden="1" x14ac:dyDescent="0.35">
      <c r="K1" s="541"/>
      <c r="L1" s="870" t="s">
        <v>625</v>
      </c>
      <c r="M1" s="870"/>
    </row>
    <row r="2" spans="8:20" hidden="1" x14ac:dyDescent="0.35">
      <c r="J2" s="541"/>
      <c r="K2" s="541"/>
      <c r="L2" s="870" t="s">
        <v>450</v>
      </c>
      <c r="M2" s="870"/>
      <c r="N2" s="870"/>
    </row>
    <row r="3" spans="8:20" hidden="1" x14ac:dyDescent="0.3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idden="1" x14ac:dyDescent="0.35">
      <c r="I4" s="541"/>
      <c r="J4" s="541"/>
      <c r="K4" s="541"/>
      <c r="L4" s="870" t="s">
        <v>448</v>
      </c>
      <c r="M4" s="870"/>
      <c r="N4" s="870"/>
      <c r="O4" s="870"/>
    </row>
    <row r="5" spans="8:20" hidden="1" x14ac:dyDescent="0.35">
      <c r="I5" s="541"/>
      <c r="J5" s="541"/>
      <c r="K5" s="541"/>
      <c r="L5" s="870" t="s">
        <v>448</v>
      </c>
      <c r="M5" s="870"/>
      <c r="N5" s="870"/>
      <c r="O5" s="870"/>
    </row>
    <row r="6" spans="8:20" hidden="1" x14ac:dyDescent="0.35">
      <c r="J6" s="541"/>
      <c r="K6" s="541"/>
      <c r="L6" s="871" t="s">
        <v>627</v>
      </c>
      <c r="M6" s="871"/>
      <c r="N6" s="871"/>
    </row>
    <row r="7" spans="8:20" hidden="1" x14ac:dyDescent="0.35"/>
    <row r="8" spans="8:20" hidden="1" x14ac:dyDescent="0.35">
      <c r="L8" s="870" t="s">
        <v>446</v>
      </c>
    </row>
    <row r="9" spans="8:20" hidden="1" x14ac:dyDescent="0.35"/>
    <row r="10" spans="8:20" hidden="1" x14ac:dyDescent="0.35">
      <c r="L10" s="870" t="s">
        <v>628</v>
      </c>
    </row>
    <row r="11" spans="8:20" hidden="1" x14ac:dyDescent="0.35">
      <c r="L11" s="870"/>
    </row>
    <row r="12" spans="8:20" x14ac:dyDescent="0.35">
      <c r="I12" s="261"/>
      <c r="J12" s="261"/>
      <c r="K12" s="3023" t="s">
        <v>792</v>
      </c>
      <c r="L12" s="3023"/>
      <c r="M12" s="3023"/>
      <c r="N12" s="3023"/>
      <c r="O12" s="3023"/>
      <c r="P12" s="3023"/>
      <c r="Q12" s="3023"/>
      <c r="R12" s="3023"/>
      <c r="S12" s="3023"/>
      <c r="T12" s="3023"/>
    </row>
    <row r="13" spans="8:20" x14ac:dyDescent="0.35">
      <c r="I13" s="261"/>
      <c r="J13" s="261"/>
      <c r="K13" s="3023" t="s">
        <v>450</v>
      </c>
      <c r="L13" s="3023"/>
      <c r="M13" s="3023"/>
      <c r="N13" s="3023"/>
      <c r="O13" s="3023"/>
      <c r="P13" s="3023"/>
      <c r="Q13" s="3023"/>
      <c r="R13" s="3023"/>
      <c r="S13" s="3023"/>
      <c r="T13" s="3023"/>
    </row>
    <row r="14" spans="8:20" x14ac:dyDescent="0.35">
      <c r="I14" s="261"/>
      <c r="J14" s="3023" t="s">
        <v>449</v>
      </c>
      <c r="K14" s="3023"/>
      <c r="L14" s="3023"/>
      <c r="M14" s="3023"/>
      <c r="N14" s="3023"/>
      <c r="O14" s="3023"/>
      <c r="P14" s="3023"/>
      <c r="Q14" s="3023"/>
      <c r="R14" s="3023"/>
      <c r="S14" s="3023"/>
      <c r="T14" s="3023"/>
    </row>
    <row r="15" spans="8:20" x14ac:dyDescent="0.35">
      <c r="I15" s="261"/>
      <c r="J15" s="261"/>
      <c r="K15" s="3023" t="s">
        <v>448</v>
      </c>
      <c r="L15" s="3023"/>
      <c r="M15" s="3023"/>
      <c r="N15" s="3023"/>
      <c r="O15" s="3023"/>
      <c r="P15" s="3023"/>
      <c r="Q15" s="3023"/>
      <c r="R15" s="3023"/>
      <c r="S15" s="3023"/>
      <c r="T15" s="3023"/>
    </row>
    <row r="16" spans="8:20" x14ac:dyDescent="0.25">
      <c r="H16" s="387" t="s">
        <v>617</v>
      </c>
      <c r="I16" s="873"/>
      <c r="K16" s="3284" t="s">
        <v>893</v>
      </c>
      <c r="L16" s="3285"/>
      <c r="M16" s="3285"/>
      <c r="N16" s="3285"/>
      <c r="O16" s="3285"/>
      <c r="P16" s="3285"/>
      <c r="Q16" s="3285"/>
      <c r="R16" s="3285"/>
      <c r="S16" s="3285"/>
      <c r="T16" s="3285"/>
    </row>
    <row r="17" spans="1:20" x14ac:dyDescent="0.35">
      <c r="H17" s="870"/>
      <c r="I17" s="870"/>
      <c r="J17" s="870"/>
      <c r="K17" s="870"/>
      <c r="R17" s="549"/>
    </row>
    <row r="18" spans="1:20" x14ac:dyDescent="0.35">
      <c r="H18" s="870"/>
      <c r="I18" s="870"/>
      <c r="J18" s="870"/>
      <c r="K18" s="870"/>
      <c r="R18" s="549"/>
    </row>
    <row r="19" spans="1:20" hidden="1" x14ac:dyDescent="0.35">
      <c r="H19" s="870"/>
      <c r="I19" s="870"/>
      <c r="K19" s="3023" t="s">
        <v>446</v>
      </c>
      <c r="L19" s="3023"/>
      <c r="M19" s="3023"/>
      <c r="N19" s="3023"/>
      <c r="O19" s="3023"/>
      <c r="P19" s="3023"/>
      <c r="Q19" s="3023"/>
      <c r="R19" s="3023"/>
      <c r="S19" s="3023"/>
      <c r="T19" s="3023"/>
    </row>
    <row r="20" spans="1:20" hidden="1" x14ac:dyDescent="0.35">
      <c r="H20" s="870"/>
      <c r="I20" s="870"/>
      <c r="J20" s="870"/>
      <c r="K20" s="870"/>
      <c r="R20" s="549"/>
    </row>
    <row r="21" spans="1:20" hidden="1" x14ac:dyDescent="0.35">
      <c r="H21" s="870"/>
      <c r="I21" s="870"/>
      <c r="J21" s="870"/>
      <c r="K21" s="3023" t="s">
        <v>842</v>
      </c>
      <c r="L21" s="3023"/>
      <c r="M21" s="3023"/>
      <c r="N21" s="3023"/>
      <c r="O21" s="3023"/>
      <c r="P21" s="3023"/>
      <c r="Q21" s="3023"/>
      <c r="R21" s="3023"/>
      <c r="S21" s="3023"/>
      <c r="T21" s="3023"/>
    </row>
    <row r="22" spans="1:20" hidden="1" x14ac:dyDescent="0.35">
      <c r="J22" s="870"/>
      <c r="K22" s="870"/>
      <c r="L22" s="870"/>
      <c r="R22" s="549"/>
    </row>
    <row r="23" spans="1:20" ht="15" hidden="1" customHeight="1" x14ac:dyDescent="0.35">
      <c r="J23" s="870"/>
      <c r="K23" s="870"/>
      <c r="L23" s="870"/>
      <c r="R23" s="549"/>
    </row>
    <row r="24" spans="1:20" ht="19.5" customHeight="1" x14ac:dyDescent="0.35">
      <c r="R24" s="549"/>
    </row>
    <row r="25" spans="1:20" ht="17.5" x14ac:dyDescent="0.35">
      <c r="A25" s="3024" t="s">
        <v>629</v>
      </c>
      <c r="B25" s="3024"/>
      <c r="C25" s="3024"/>
      <c r="D25" s="3024"/>
      <c r="E25" s="3024"/>
      <c r="F25" s="3024"/>
      <c r="G25" s="3024"/>
      <c r="H25" s="3024"/>
      <c r="I25" s="3024"/>
      <c r="J25" s="3024"/>
      <c r="K25" s="3024"/>
      <c r="L25" s="3024"/>
      <c r="M25" s="3024"/>
      <c r="N25" s="3024"/>
      <c r="O25" s="3024"/>
      <c r="P25" s="3024"/>
      <c r="Q25" s="3024"/>
      <c r="R25" s="3024"/>
      <c r="S25" s="3024"/>
      <c r="T25" s="971"/>
    </row>
    <row r="26" spans="1:20" ht="17.5" customHeight="1" x14ac:dyDescent="0.35">
      <c r="A26" s="3024" t="s">
        <v>793</v>
      </c>
      <c r="B26" s="3024"/>
      <c r="C26" s="3024"/>
      <c r="D26" s="3024"/>
      <c r="E26" s="3024"/>
      <c r="F26" s="3024"/>
      <c r="G26" s="3024"/>
      <c r="H26" s="3024"/>
      <c r="I26" s="3024"/>
      <c r="J26" s="3024"/>
      <c r="K26" s="3024"/>
      <c r="L26" s="3024"/>
      <c r="M26" s="3024"/>
      <c r="N26" s="3024"/>
      <c r="O26" s="3024"/>
      <c r="P26" s="3024"/>
      <c r="Q26" s="3024"/>
      <c r="R26" s="3024"/>
      <c r="S26" s="3024"/>
      <c r="T26" s="971"/>
    </row>
    <row r="27" spans="1:20" ht="17.5" hidden="1" x14ac:dyDescent="0.35">
      <c r="A27" s="3024" t="s">
        <v>794</v>
      </c>
      <c r="B27" s="3024"/>
      <c r="C27" s="3024"/>
      <c r="D27" s="3024"/>
      <c r="E27" s="3024"/>
      <c r="F27" s="3024"/>
      <c r="G27" s="3024"/>
      <c r="H27" s="3024"/>
      <c r="I27" s="3024"/>
      <c r="J27" s="3024"/>
      <c r="K27" s="3024"/>
      <c r="L27" s="3024"/>
      <c r="M27" s="1012"/>
      <c r="N27" s="1012"/>
      <c r="O27" s="1012"/>
      <c r="P27" s="1012"/>
      <c r="Q27" s="1013"/>
      <c r="R27" s="1013"/>
      <c r="S27" s="971"/>
      <c r="T27" s="971"/>
    </row>
    <row r="28" spans="1:20" ht="17.5" x14ac:dyDescent="0.35">
      <c r="A28" s="3024" t="s">
        <v>943</v>
      </c>
      <c r="B28" s="3024"/>
      <c r="C28" s="3024"/>
      <c r="D28" s="3024"/>
      <c r="E28" s="3024"/>
      <c r="F28" s="3024"/>
      <c r="G28" s="3024"/>
      <c r="H28" s="3024"/>
      <c r="I28" s="3024"/>
      <c r="J28" s="3024"/>
      <c r="K28" s="3024"/>
      <c r="L28" s="3024"/>
      <c r="M28" s="3024"/>
      <c r="N28" s="3024"/>
      <c r="O28" s="3024"/>
      <c r="P28" s="3024"/>
      <c r="Q28" s="3024"/>
      <c r="R28" s="3024"/>
      <c r="S28" s="3024"/>
      <c r="T28" s="971"/>
    </row>
    <row r="29" spans="1:20" ht="15" customHeight="1" thickBot="1" x14ac:dyDescent="0.4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025" t="s">
        <v>631</v>
      </c>
      <c r="T29" s="3025"/>
    </row>
    <row r="30" spans="1:20" ht="15" x14ac:dyDescent="0.3">
      <c r="A30" s="3051" t="s">
        <v>632</v>
      </c>
      <c r="B30" s="3052"/>
      <c r="C30" s="3053"/>
      <c r="D30" s="3089" t="s">
        <v>633</v>
      </c>
      <c r="E30" s="3090"/>
      <c r="F30" s="3090"/>
      <c r="G30" s="3090"/>
      <c r="H30" s="3090"/>
      <c r="I30" s="3090"/>
      <c r="J30" s="3091"/>
      <c r="K30" s="3089" t="s">
        <v>843</v>
      </c>
      <c r="L30" s="3091"/>
      <c r="M30" s="3277" t="s">
        <v>635</v>
      </c>
      <c r="N30" s="3279" t="s">
        <v>636</v>
      </c>
      <c r="O30" s="3279" t="s">
        <v>637</v>
      </c>
      <c r="P30" s="3277" t="s">
        <v>638</v>
      </c>
      <c r="Q30" s="3281" t="s">
        <v>639</v>
      </c>
      <c r="R30" s="3089" t="s">
        <v>894</v>
      </c>
      <c r="S30" s="3091"/>
      <c r="T30" s="3041" t="s">
        <v>640</v>
      </c>
    </row>
    <row r="31" spans="1:20" thickBot="1" x14ac:dyDescent="0.35">
      <c r="A31" s="3054" t="s">
        <v>641</v>
      </c>
      <c r="B31" s="3055"/>
      <c r="C31" s="3056"/>
      <c r="D31" s="3092"/>
      <c r="E31" s="3093"/>
      <c r="F31" s="3093"/>
      <c r="G31" s="3093"/>
      <c r="H31" s="3093"/>
      <c r="I31" s="3093"/>
      <c r="J31" s="3094"/>
      <c r="K31" s="3092"/>
      <c r="L31" s="3094"/>
      <c r="M31" s="3278"/>
      <c r="N31" s="3280"/>
      <c r="O31" s="3280"/>
      <c r="P31" s="3278"/>
      <c r="Q31" s="3282"/>
      <c r="R31" s="3092"/>
      <c r="S31" s="3094"/>
      <c r="T31" s="3044"/>
    </row>
    <row r="32" spans="1:20" ht="15.65" customHeight="1" x14ac:dyDescent="0.3">
      <c r="A32" s="3051" t="s">
        <v>642</v>
      </c>
      <c r="B32" s="3052"/>
      <c r="C32" s="3053"/>
      <c r="D32" s="3057" t="s">
        <v>643</v>
      </c>
      <c r="E32" s="3058"/>
      <c r="F32" s="3058"/>
      <c r="G32" s="3058"/>
      <c r="H32" s="3058"/>
      <c r="I32" s="3058"/>
      <c r="J32" s="3059"/>
      <c r="K32" s="3291">
        <f>K34+K45+K51+K57+K76+K82+K98+K41+K38+K94</f>
        <v>78243.179999999993</v>
      </c>
      <c r="L32" s="3292"/>
      <c r="M32" s="3283">
        <v>17235.358</v>
      </c>
      <c r="N32" s="3283"/>
      <c r="O32" s="3283"/>
      <c r="P32" s="3283">
        <f>P34+P45+P51+P57+P76+P82+P98</f>
        <v>21212.394</v>
      </c>
      <c r="Q32" s="3283">
        <v>20829</v>
      </c>
      <c r="R32" s="3291">
        <f>R34+R45+R51+R57+R76+R82+R98+R41+R38+R94</f>
        <v>82838.281000000017</v>
      </c>
      <c r="S32" s="3292"/>
      <c r="T32" s="971"/>
    </row>
    <row r="33" spans="1:24" ht="13.9" customHeight="1" thickBot="1" x14ac:dyDescent="0.35">
      <c r="A33" s="3054"/>
      <c r="B33" s="3055"/>
      <c r="C33" s="3056"/>
      <c r="D33" s="3060"/>
      <c r="E33" s="3061"/>
      <c r="F33" s="3061"/>
      <c r="G33" s="3061"/>
      <c r="H33" s="3061"/>
      <c r="I33" s="3061"/>
      <c r="J33" s="3062"/>
      <c r="K33" s="3293"/>
      <c r="L33" s="3294"/>
      <c r="M33" s="3283"/>
      <c r="N33" s="3283"/>
      <c r="O33" s="3283"/>
      <c r="P33" s="3283"/>
      <c r="Q33" s="3283"/>
      <c r="R33" s="3293"/>
      <c r="S33" s="3294"/>
      <c r="T33" s="971"/>
    </row>
    <row r="34" spans="1:24" ht="15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291">
        <f>K36</f>
        <v>30570.5</v>
      </c>
      <c r="L34" s="3292"/>
      <c r="M34" s="3283">
        <v>4523.7</v>
      </c>
      <c r="N34" s="3283"/>
      <c r="O34" s="3283"/>
      <c r="P34" s="3283">
        <f>P36</f>
        <v>5592.7</v>
      </c>
      <c r="Q34" s="3286">
        <v>4938.4639999999999</v>
      </c>
      <c r="R34" s="3291">
        <f>R36</f>
        <v>32404.7</v>
      </c>
      <c r="S34" s="3292"/>
      <c r="T34" s="971"/>
    </row>
    <row r="35" spans="1:24" ht="16.149999999999999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293"/>
      <c r="L35" s="3294"/>
      <c r="M35" s="3283"/>
      <c r="N35" s="3283"/>
      <c r="O35" s="3283"/>
      <c r="P35" s="3283"/>
      <c r="Q35" s="3286"/>
      <c r="R35" s="3293"/>
      <c r="S35" s="3294"/>
      <c r="T35" s="971"/>
      <c r="X35" s="874" t="s">
        <v>106</v>
      </c>
    </row>
    <row r="36" spans="1:24" ht="13.9" customHeight="1" x14ac:dyDescent="0.35">
      <c r="A36" s="3038" t="s">
        <v>647</v>
      </c>
      <c r="B36" s="3039"/>
      <c r="C36" s="3040"/>
      <c r="D36" s="982"/>
      <c r="E36" s="983"/>
      <c r="F36" s="983"/>
      <c r="G36" s="983"/>
      <c r="H36" s="983"/>
      <c r="I36" s="983"/>
      <c r="J36" s="984"/>
      <c r="K36" s="3287">
        <v>30570.5</v>
      </c>
      <c r="L36" s="3288"/>
      <c r="M36" s="3283">
        <v>4523.7</v>
      </c>
      <c r="N36" s="3283">
        <v>534.5</v>
      </c>
      <c r="O36" s="3283">
        <v>534.5</v>
      </c>
      <c r="P36" s="3283">
        <f>M36+N36+O36</f>
        <v>5592.7</v>
      </c>
      <c r="Q36" s="3286">
        <v>4938.4639999999999</v>
      </c>
      <c r="R36" s="3287">
        <v>32404.7</v>
      </c>
      <c r="S36" s="3288"/>
      <c r="T36" s="971"/>
    </row>
    <row r="37" spans="1:24" ht="16.149999999999999" customHeight="1" thickBot="1" x14ac:dyDescent="0.4">
      <c r="A37" s="3032"/>
      <c r="B37" s="3025"/>
      <c r="C37" s="3033"/>
      <c r="D37" s="985" t="s">
        <v>648</v>
      </c>
      <c r="E37" s="986"/>
      <c r="F37" s="986"/>
      <c r="G37" s="986"/>
      <c r="H37" s="986"/>
      <c r="I37" s="986"/>
      <c r="J37" s="987"/>
      <c r="K37" s="3289"/>
      <c r="L37" s="3290"/>
      <c r="M37" s="3283"/>
      <c r="N37" s="3283"/>
      <c r="O37" s="3283"/>
      <c r="P37" s="3283"/>
      <c r="Q37" s="3286"/>
      <c r="R37" s="3289"/>
      <c r="S37" s="3290"/>
      <c r="T37" s="971"/>
    </row>
    <row r="38" spans="1:24" ht="15.65" customHeight="1" x14ac:dyDescent="0.3">
      <c r="A38" s="3089" t="s">
        <v>649</v>
      </c>
      <c r="B38" s="3090"/>
      <c r="C38" s="3091"/>
      <c r="D38" s="3300" t="s">
        <v>650</v>
      </c>
      <c r="E38" s="3301"/>
      <c r="F38" s="3301"/>
      <c r="G38" s="3301"/>
      <c r="H38" s="3301"/>
      <c r="I38" s="3301"/>
      <c r="J38" s="3302"/>
      <c r="K38" s="3291">
        <f>K40</f>
        <v>822</v>
      </c>
      <c r="L38" s="3292"/>
      <c r="M38" s="3283">
        <v>9794</v>
      </c>
      <c r="N38" s="3283"/>
      <c r="O38" s="3283"/>
      <c r="P38" s="3283" t="e">
        <f>#REF!+P41+P42</f>
        <v>#REF!</v>
      </c>
      <c r="Q38" s="3286">
        <v>12087.288329999999</v>
      </c>
      <c r="R38" s="3291">
        <f>R40</f>
        <v>822</v>
      </c>
      <c r="S38" s="3292"/>
      <c r="T38" s="971"/>
    </row>
    <row r="39" spans="1:24" ht="16.149999999999999" customHeight="1" thickBot="1" x14ac:dyDescent="0.35">
      <c r="A39" s="3092"/>
      <c r="B39" s="3093"/>
      <c r="C39" s="3094"/>
      <c r="D39" s="3303"/>
      <c r="E39" s="3304"/>
      <c r="F39" s="3304"/>
      <c r="G39" s="3304"/>
      <c r="H39" s="3304"/>
      <c r="I39" s="3304"/>
      <c r="J39" s="3305"/>
      <c r="K39" s="3293"/>
      <c r="L39" s="3294"/>
      <c r="M39" s="3283"/>
      <c r="N39" s="3283"/>
      <c r="O39" s="3283"/>
      <c r="P39" s="3283"/>
      <c r="Q39" s="3286"/>
      <c r="R39" s="3293"/>
      <c r="S39" s="3294"/>
      <c r="T39" s="971"/>
    </row>
    <row r="40" spans="1:24" ht="31.15" customHeight="1" thickBot="1" x14ac:dyDescent="0.4">
      <c r="A40" s="3075" t="s">
        <v>651</v>
      </c>
      <c r="B40" s="3076"/>
      <c r="C40" s="3077"/>
      <c r="D40" s="3297" t="s">
        <v>652</v>
      </c>
      <c r="E40" s="3298"/>
      <c r="F40" s="3298"/>
      <c r="G40" s="3298"/>
      <c r="H40" s="3298"/>
      <c r="I40" s="3298"/>
      <c r="J40" s="3299"/>
      <c r="K40" s="3295">
        <v>822</v>
      </c>
      <c r="L40" s="3296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295">
        <v>822</v>
      </c>
      <c r="S40" s="3296"/>
      <c r="T40" s="971"/>
    </row>
    <row r="41" spans="1:24" ht="15.65" customHeight="1" x14ac:dyDescent="0.3">
      <c r="A41" s="3089" t="s">
        <v>653</v>
      </c>
      <c r="B41" s="3090"/>
      <c r="C41" s="3091"/>
      <c r="D41" s="3110" t="s">
        <v>654</v>
      </c>
      <c r="E41" s="3111"/>
      <c r="F41" s="3111"/>
      <c r="G41" s="3111"/>
      <c r="H41" s="3111"/>
      <c r="I41" s="3111"/>
      <c r="J41" s="3112"/>
      <c r="K41" s="3291">
        <f>K44</f>
        <v>76</v>
      </c>
      <c r="L41" s="3292"/>
      <c r="M41" s="3283">
        <v>9794</v>
      </c>
      <c r="N41" s="3283"/>
      <c r="O41" s="3283"/>
      <c r="P41" s="3283">
        <f>P44+P45+P46</f>
        <v>11948</v>
      </c>
      <c r="Q41" s="3286">
        <v>12087.288329999999</v>
      </c>
      <c r="R41" s="3291">
        <f>R44</f>
        <v>80.599999999999994</v>
      </c>
      <c r="S41" s="3292"/>
      <c r="T41" s="971"/>
    </row>
    <row r="42" spans="1:24" ht="16.149999999999999" customHeight="1" thickBot="1" x14ac:dyDescent="0.35">
      <c r="A42" s="3092"/>
      <c r="B42" s="3093"/>
      <c r="C42" s="3094"/>
      <c r="D42" s="3113"/>
      <c r="E42" s="3114"/>
      <c r="F42" s="3114"/>
      <c r="G42" s="3114"/>
      <c r="H42" s="3114"/>
      <c r="I42" s="3114"/>
      <c r="J42" s="3115"/>
      <c r="K42" s="3293"/>
      <c r="L42" s="3294"/>
      <c r="M42" s="3283"/>
      <c r="N42" s="3283"/>
      <c r="O42" s="3283"/>
      <c r="P42" s="3283"/>
      <c r="Q42" s="3286"/>
      <c r="R42" s="3293"/>
      <c r="S42" s="3294"/>
      <c r="T42" s="971"/>
    </row>
    <row r="43" spans="1:24" ht="16.149999999999999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" thickBot="1" x14ac:dyDescent="0.4">
      <c r="A44" s="3034" t="s">
        <v>655</v>
      </c>
      <c r="B44" s="3106"/>
      <c r="C44" s="3035"/>
      <c r="D44" s="3107" t="s">
        <v>656</v>
      </c>
      <c r="E44" s="3108"/>
      <c r="F44" s="3108"/>
      <c r="G44" s="3108"/>
      <c r="H44" s="3108"/>
      <c r="I44" s="3108"/>
      <c r="J44" s="3109"/>
      <c r="K44" s="3295">
        <v>76</v>
      </c>
      <c r="L44" s="3296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295">
        <v>80.599999999999994</v>
      </c>
      <c r="S44" s="3296"/>
      <c r="T44" s="971"/>
    </row>
    <row r="45" spans="1:24" ht="15.65" customHeight="1" x14ac:dyDescent="0.3">
      <c r="A45" s="3089" t="s">
        <v>657</v>
      </c>
      <c r="B45" s="3090"/>
      <c r="C45" s="3091"/>
      <c r="D45" s="3110" t="s">
        <v>658</v>
      </c>
      <c r="E45" s="3111"/>
      <c r="F45" s="3111"/>
      <c r="G45" s="3111"/>
      <c r="H45" s="3111"/>
      <c r="I45" s="3111"/>
      <c r="J45" s="3112"/>
      <c r="K45" s="3291">
        <f>K48+K50+K49</f>
        <v>44852.9</v>
      </c>
      <c r="L45" s="3292"/>
      <c r="M45" s="3283">
        <v>9794</v>
      </c>
      <c r="N45" s="3283"/>
      <c r="O45" s="3283"/>
      <c r="P45" s="3283">
        <f>P48+P49+P50</f>
        <v>11824</v>
      </c>
      <c r="Q45" s="3286">
        <v>12087.288329999999</v>
      </c>
      <c r="R45" s="3291">
        <f>R48+R50+R49</f>
        <v>47544.1</v>
      </c>
      <c r="S45" s="3292"/>
      <c r="T45" s="971"/>
    </row>
    <row r="46" spans="1:24" ht="16.149999999999999" customHeight="1" thickBot="1" x14ac:dyDescent="0.35">
      <c r="A46" s="3092"/>
      <c r="B46" s="3093"/>
      <c r="C46" s="3094"/>
      <c r="D46" s="3113"/>
      <c r="E46" s="3114"/>
      <c r="F46" s="3114"/>
      <c r="G46" s="3114"/>
      <c r="H46" s="3114"/>
      <c r="I46" s="3114"/>
      <c r="J46" s="3115"/>
      <c r="K46" s="3293"/>
      <c r="L46" s="3294"/>
      <c r="M46" s="3283"/>
      <c r="N46" s="3283"/>
      <c r="O46" s="3283"/>
      <c r="P46" s="3283"/>
      <c r="Q46" s="3286"/>
      <c r="R46" s="3293"/>
      <c r="S46" s="3294"/>
      <c r="T46" s="971"/>
    </row>
    <row r="47" spans="1:24" ht="16.149999999999999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5" customHeight="1" thickBot="1" x14ac:dyDescent="0.4">
      <c r="A48" s="3034" t="s">
        <v>659</v>
      </c>
      <c r="B48" s="3106"/>
      <c r="C48" s="3035"/>
      <c r="D48" s="972" t="s">
        <v>660</v>
      </c>
      <c r="E48" s="975"/>
      <c r="F48" s="975"/>
      <c r="G48" s="975"/>
      <c r="H48" s="975"/>
      <c r="I48" s="975"/>
      <c r="J48" s="974"/>
      <c r="K48" s="3295">
        <v>7392.9</v>
      </c>
      <c r="L48" s="3296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295">
        <v>7836.5</v>
      </c>
      <c r="S48" s="3296"/>
      <c r="T48" s="971"/>
    </row>
    <row r="49" spans="1:20" ht="15.65" hidden="1" customHeight="1" thickBot="1" x14ac:dyDescent="0.4">
      <c r="A49" s="3034" t="s">
        <v>661</v>
      </c>
      <c r="B49" s="3106"/>
      <c r="C49" s="3035"/>
      <c r="D49" s="996" t="s">
        <v>662</v>
      </c>
      <c r="E49" s="997"/>
      <c r="F49" s="997"/>
      <c r="G49" s="997"/>
      <c r="H49" s="997"/>
      <c r="I49" s="997"/>
      <c r="J49" s="998"/>
      <c r="K49" s="3295"/>
      <c r="L49" s="3296"/>
      <c r="M49" s="1015"/>
      <c r="N49" s="1015"/>
      <c r="O49" s="1015"/>
      <c r="P49" s="1015"/>
      <c r="Q49" s="1016"/>
      <c r="R49" s="3295"/>
      <c r="S49" s="3296"/>
      <c r="T49" s="971"/>
    </row>
    <row r="50" spans="1:20" ht="16" thickBot="1" x14ac:dyDescent="0.4">
      <c r="A50" s="3034" t="s">
        <v>663</v>
      </c>
      <c r="B50" s="3106"/>
      <c r="C50" s="3035"/>
      <c r="D50" s="972" t="s">
        <v>664</v>
      </c>
      <c r="E50" s="975"/>
      <c r="F50" s="975"/>
      <c r="G50" s="975"/>
      <c r="H50" s="975"/>
      <c r="I50" s="975"/>
      <c r="J50" s="974"/>
      <c r="K50" s="3295">
        <v>37460</v>
      </c>
      <c r="L50" s="3296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295">
        <v>39707.599999999999</v>
      </c>
      <c r="S50" s="3296"/>
      <c r="T50" s="971"/>
    </row>
    <row r="51" spans="1:20" ht="15.65" customHeight="1" x14ac:dyDescent="0.3">
      <c r="A51" s="3089" t="s">
        <v>665</v>
      </c>
      <c r="B51" s="3090"/>
      <c r="C51" s="3091"/>
      <c r="D51" s="3110" t="s">
        <v>666</v>
      </c>
      <c r="E51" s="3111"/>
      <c r="F51" s="3111"/>
      <c r="G51" s="3111"/>
      <c r="H51" s="3111"/>
      <c r="I51" s="3111"/>
      <c r="J51" s="3112"/>
      <c r="K51" s="3291">
        <f>K53</f>
        <v>6</v>
      </c>
      <c r="L51" s="3292"/>
      <c r="M51" s="3283">
        <v>17</v>
      </c>
      <c r="N51" s="3283"/>
      <c r="O51" s="3283"/>
      <c r="P51" s="3283">
        <f>M51+N51+O51</f>
        <v>17</v>
      </c>
      <c r="Q51" s="3283">
        <v>3.9649999999999999</v>
      </c>
      <c r="R51" s="3291">
        <f>R53</f>
        <v>7</v>
      </c>
      <c r="S51" s="3292"/>
      <c r="T51" s="971"/>
    </row>
    <row r="52" spans="1:20" ht="13.9" customHeight="1" thickBot="1" x14ac:dyDescent="0.35">
      <c r="A52" s="3092"/>
      <c r="B52" s="3093"/>
      <c r="C52" s="3094"/>
      <c r="D52" s="3113"/>
      <c r="E52" s="3114"/>
      <c r="F52" s="3114"/>
      <c r="G52" s="3114"/>
      <c r="H52" s="3114"/>
      <c r="I52" s="3114"/>
      <c r="J52" s="3115"/>
      <c r="K52" s="3293"/>
      <c r="L52" s="3294"/>
      <c r="M52" s="3283"/>
      <c r="N52" s="3283"/>
      <c r="O52" s="3283"/>
      <c r="P52" s="3283"/>
      <c r="Q52" s="3283"/>
      <c r="R52" s="3293"/>
      <c r="S52" s="3294"/>
      <c r="T52" s="971"/>
    </row>
    <row r="53" spans="1:20" x14ac:dyDescent="0.35">
      <c r="A53" s="3041" t="s">
        <v>667</v>
      </c>
      <c r="B53" s="3042"/>
      <c r="C53" s="3043"/>
      <c r="D53" s="982" t="s">
        <v>668</v>
      </c>
      <c r="E53" s="983"/>
      <c r="F53" s="983"/>
      <c r="G53" s="983"/>
      <c r="H53" s="983"/>
      <c r="I53" s="983"/>
      <c r="J53" s="983"/>
      <c r="K53" s="3287">
        <v>6</v>
      </c>
      <c r="L53" s="3288"/>
      <c r="M53" s="3283">
        <v>17</v>
      </c>
      <c r="N53" s="3283"/>
      <c r="O53" s="3283"/>
      <c r="P53" s="3283">
        <f>M53+N53+O53</f>
        <v>17</v>
      </c>
      <c r="Q53" s="3283">
        <v>3.9649999999999999</v>
      </c>
      <c r="R53" s="3287">
        <v>7</v>
      </c>
      <c r="S53" s="3288"/>
      <c r="T53" s="971"/>
    </row>
    <row r="54" spans="1:20" x14ac:dyDescent="0.35">
      <c r="A54" s="3120"/>
      <c r="B54" s="3121"/>
      <c r="C54" s="3122"/>
      <c r="D54" s="996" t="s">
        <v>669</v>
      </c>
      <c r="E54" s="997"/>
      <c r="F54" s="997"/>
      <c r="G54" s="997"/>
      <c r="H54" s="997"/>
      <c r="I54" s="997"/>
      <c r="J54" s="997"/>
      <c r="K54" s="3306"/>
      <c r="L54" s="3307"/>
      <c r="M54" s="3283"/>
      <c r="N54" s="3283"/>
      <c r="O54" s="3283"/>
      <c r="P54" s="3283"/>
      <c r="Q54" s="3283"/>
      <c r="R54" s="3306"/>
      <c r="S54" s="3307"/>
      <c r="T54" s="971"/>
    </row>
    <row r="55" spans="1:20" x14ac:dyDescent="0.35">
      <c r="A55" s="3120"/>
      <c r="B55" s="3121"/>
      <c r="C55" s="3122"/>
      <c r="D55" s="996" t="s">
        <v>670</v>
      </c>
      <c r="E55" s="997"/>
      <c r="F55" s="997"/>
      <c r="G55" s="997"/>
      <c r="H55" s="997"/>
      <c r="I55" s="997"/>
      <c r="J55" s="997"/>
      <c r="K55" s="3306"/>
      <c r="L55" s="3307"/>
      <c r="M55" s="3283"/>
      <c r="N55" s="3283"/>
      <c r="O55" s="3283"/>
      <c r="P55" s="3283"/>
      <c r="Q55" s="3283"/>
      <c r="R55" s="3306"/>
      <c r="S55" s="3307"/>
      <c r="T55" s="971"/>
    </row>
    <row r="56" spans="1:20" ht="16" thickBot="1" x14ac:dyDescent="0.4">
      <c r="A56" s="3044"/>
      <c r="B56" s="3045"/>
      <c r="C56" s="3046"/>
      <c r="D56" s="985" t="s">
        <v>671</v>
      </c>
      <c r="E56" s="986"/>
      <c r="F56" s="986"/>
      <c r="G56" s="986"/>
      <c r="H56" s="986"/>
      <c r="I56" s="986"/>
      <c r="J56" s="986"/>
      <c r="K56" s="3289"/>
      <c r="L56" s="3290"/>
      <c r="M56" s="3283"/>
      <c r="N56" s="3283"/>
      <c r="O56" s="3283"/>
      <c r="P56" s="3283"/>
      <c r="Q56" s="3283"/>
      <c r="R56" s="3289"/>
      <c r="S56" s="3290"/>
      <c r="T56" s="971"/>
    </row>
    <row r="57" spans="1:20" ht="15" x14ac:dyDescent="0.3">
      <c r="A57" s="3089" t="s">
        <v>672</v>
      </c>
      <c r="B57" s="3090"/>
      <c r="C57" s="3091"/>
      <c r="D57" s="976" t="s">
        <v>673</v>
      </c>
      <c r="E57" s="977"/>
      <c r="F57" s="977"/>
      <c r="G57" s="977"/>
      <c r="H57" s="977"/>
      <c r="I57" s="977"/>
      <c r="J57" s="978"/>
      <c r="K57" s="3291">
        <f>K60+K64+K72+K68</f>
        <v>1842.78</v>
      </c>
      <c r="L57" s="3292"/>
      <c r="M57" s="3283">
        <v>2183.6579999999999</v>
      </c>
      <c r="N57" s="3283"/>
      <c r="O57" s="3283"/>
      <c r="P57" s="3283">
        <f>P60+P64+P72</f>
        <v>2913.6940000000004</v>
      </c>
      <c r="Q57" s="3283">
        <v>2859.2967100000001</v>
      </c>
      <c r="R57" s="3291">
        <f>R60+R64+R72+R68</f>
        <v>1903.681</v>
      </c>
      <c r="S57" s="3292"/>
      <c r="T57" s="971"/>
    </row>
    <row r="58" spans="1:20" ht="15" x14ac:dyDescent="0.3">
      <c r="A58" s="3127"/>
      <c r="B58" s="3128"/>
      <c r="C58" s="3129"/>
      <c r="D58" s="999" t="s">
        <v>674</v>
      </c>
      <c r="E58" s="1000"/>
      <c r="F58" s="1000"/>
      <c r="G58" s="1000"/>
      <c r="H58" s="1000"/>
      <c r="I58" s="1000"/>
      <c r="J58" s="1001"/>
      <c r="K58" s="3308"/>
      <c r="L58" s="3309"/>
      <c r="M58" s="3283"/>
      <c r="N58" s="3283"/>
      <c r="O58" s="3283"/>
      <c r="P58" s="3283"/>
      <c r="Q58" s="3283"/>
      <c r="R58" s="3308"/>
      <c r="S58" s="3309"/>
      <c r="T58" s="971"/>
    </row>
    <row r="59" spans="1:20" thickBot="1" x14ac:dyDescent="0.35">
      <c r="A59" s="3092"/>
      <c r="B59" s="3093"/>
      <c r="C59" s="3094"/>
      <c r="D59" s="979" t="s">
        <v>675</v>
      </c>
      <c r="E59" s="980"/>
      <c r="F59" s="980"/>
      <c r="G59" s="980"/>
      <c r="H59" s="980"/>
      <c r="I59" s="980"/>
      <c r="J59" s="981"/>
      <c r="K59" s="3293"/>
      <c r="L59" s="3294"/>
      <c r="M59" s="3283"/>
      <c r="N59" s="3283"/>
      <c r="O59" s="3283"/>
      <c r="P59" s="3283"/>
      <c r="Q59" s="3283"/>
      <c r="R59" s="3293"/>
      <c r="S59" s="3294"/>
      <c r="T59" s="971"/>
    </row>
    <row r="60" spans="1:20" ht="15.65" hidden="1" customHeight="1" thickBot="1" x14ac:dyDescent="0.4">
      <c r="A60" s="3041" t="s">
        <v>676</v>
      </c>
      <c r="B60" s="3042"/>
      <c r="C60" s="3043"/>
      <c r="D60" s="982" t="s">
        <v>677</v>
      </c>
      <c r="E60" s="983"/>
      <c r="F60" s="983"/>
      <c r="G60" s="983"/>
      <c r="H60" s="983"/>
      <c r="I60" s="983"/>
      <c r="J60" s="984"/>
      <c r="K60" s="3287"/>
      <c r="L60" s="3288"/>
      <c r="M60" s="3283">
        <v>1030</v>
      </c>
      <c r="N60" s="3283">
        <v>140</v>
      </c>
      <c r="O60" s="3283">
        <v>140</v>
      </c>
      <c r="P60" s="3283">
        <f>M60+N60+O60</f>
        <v>1310</v>
      </c>
      <c r="Q60" s="3283">
        <v>1430.7293099999999</v>
      </c>
      <c r="R60" s="3287"/>
      <c r="S60" s="3288"/>
      <c r="T60" s="971"/>
    </row>
    <row r="61" spans="1:20" ht="15.65" hidden="1" customHeight="1" thickBot="1" x14ac:dyDescent="0.4">
      <c r="A61" s="3120"/>
      <c r="B61" s="3121"/>
      <c r="C61" s="3122"/>
      <c r="D61" s="996" t="s">
        <v>678</v>
      </c>
      <c r="E61" s="997"/>
      <c r="F61" s="997"/>
      <c r="G61" s="997"/>
      <c r="H61" s="997"/>
      <c r="I61" s="997"/>
      <c r="J61" s="998"/>
      <c r="K61" s="3306"/>
      <c r="L61" s="3307"/>
      <c r="M61" s="3283"/>
      <c r="N61" s="3283"/>
      <c r="O61" s="3283"/>
      <c r="P61" s="3283"/>
      <c r="Q61" s="3283"/>
      <c r="R61" s="3306"/>
      <c r="S61" s="3307"/>
      <c r="T61" s="971"/>
    </row>
    <row r="62" spans="1:20" ht="15.65" hidden="1" customHeight="1" thickBot="1" x14ac:dyDescent="0.4">
      <c r="A62" s="3120"/>
      <c r="B62" s="3121"/>
      <c r="C62" s="3122"/>
      <c r="D62" s="996" t="s">
        <v>679</v>
      </c>
      <c r="E62" s="997"/>
      <c r="F62" s="997"/>
      <c r="G62" s="997"/>
      <c r="H62" s="997"/>
      <c r="I62" s="997"/>
      <c r="J62" s="998"/>
      <c r="K62" s="3306"/>
      <c r="L62" s="3307"/>
      <c r="M62" s="3283"/>
      <c r="N62" s="3283"/>
      <c r="O62" s="3283"/>
      <c r="P62" s="3283"/>
      <c r="Q62" s="3283"/>
      <c r="R62" s="3306"/>
      <c r="S62" s="3307"/>
      <c r="T62" s="971"/>
    </row>
    <row r="63" spans="1:20" ht="15.65" hidden="1" customHeight="1" thickBot="1" x14ac:dyDescent="0.4">
      <c r="A63" s="3044"/>
      <c r="B63" s="3045"/>
      <c r="C63" s="3046"/>
      <c r="D63" s="985" t="s">
        <v>680</v>
      </c>
      <c r="E63" s="986"/>
      <c r="F63" s="986"/>
      <c r="G63" s="986"/>
      <c r="H63" s="986"/>
      <c r="I63" s="986"/>
      <c r="J63" s="987"/>
      <c r="K63" s="3289"/>
      <c r="L63" s="3290"/>
      <c r="M63" s="3283"/>
      <c r="N63" s="3283"/>
      <c r="O63" s="3283"/>
      <c r="P63" s="3283"/>
      <c r="Q63" s="3283"/>
      <c r="R63" s="3289"/>
      <c r="S63" s="3290"/>
      <c r="T63" s="971"/>
    </row>
    <row r="64" spans="1:20" ht="15.65" hidden="1" customHeight="1" thickBot="1" x14ac:dyDescent="0.4">
      <c r="A64" s="3041" t="s">
        <v>681</v>
      </c>
      <c r="B64" s="3042"/>
      <c r="C64" s="3043"/>
      <c r="D64" s="982" t="s">
        <v>682</v>
      </c>
      <c r="E64" s="983"/>
      <c r="F64" s="983"/>
      <c r="G64" s="983"/>
      <c r="H64" s="983"/>
      <c r="I64" s="983"/>
      <c r="J64" s="984"/>
      <c r="K64" s="3287"/>
      <c r="L64" s="3288"/>
      <c r="M64" s="3283">
        <v>928.55</v>
      </c>
      <c r="N64" s="3283">
        <v>200</v>
      </c>
      <c r="O64" s="3283">
        <v>200</v>
      </c>
      <c r="P64" s="3283">
        <f>M64+N64+O64</f>
        <v>1328.55</v>
      </c>
      <c r="Q64" s="3283">
        <v>1007.7294000000001</v>
      </c>
      <c r="R64" s="3287"/>
      <c r="S64" s="3288"/>
      <c r="T64" s="971"/>
    </row>
    <row r="65" spans="1:20" ht="14.25" hidden="1" customHeight="1" x14ac:dyDescent="0.35">
      <c r="A65" s="3120"/>
      <c r="B65" s="3121"/>
      <c r="C65" s="3122"/>
      <c r="D65" s="996" t="s">
        <v>683</v>
      </c>
      <c r="E65" s="997"/>
      <c r="F65" s="997"/>
      <c r="G65" s="997"/>
      <c r="H65" s="997"/>
      <c r="I65" s="997"/>
      <c r="J65" s="998"/>
      <c r="K65" s="3306"/>
      <c r="L65" s="3307"/>
      <c r="M65" s="3283"/>
      <c r="N65" s="3283"/>
      <c r="O65" s="3283"/>
      <c r="P65" s="3283"/>
      <c r="Q65" s="3283"/>
      <c r="R65" s="3306"/>
      <c r="S65" s="3307"/>
      <c r="T65" s="971"/>
    </row>
    <row r="66" spans="1:20" ht="15.75" hidden="1" customHeight="1" x14ac:dyDescent="0.35">
      <c r="A66" s="3120"/>
      <c r="B66" s="3121"/>
      <c r="C66" s="3122"/>
      <c r="D66" s="996" t="s">
        <v>684</v>
      </c>
      <c r="E66" s="997"/>
      <c r="F66" s="997"/>
      <c r="G66" s="997"/>
      <c r="H66" s="997"/>
      <c r="I66" s="997"/>
      <c r="J66" s="998"/>
      <c r="K66" s="3306"/>
      <c r="L66" s="3307"/>
      <c r="M66" s="3283"/>
      <c r="N66" s="3283"/>
      <c r="O66" s="3283"/>
      <c r="P66" s="3283"/>
      <c r="Q66" s="3283"/>
      <c r="R66" s="3306"/>
      <c r="S66" s="3307"/>
      <c r="T66" s="971"/>
    </row>
    <row r="67" spans="1:20" ht="15.75" hidden="1" customHeight="1" thickBot="1" x14ac:dyDescent="0.4">
      <c r="A67" s="3044"/>
      <c r="B67" s="3045"/>
      <c r="C67" s="3046"/>
      <c r="D67" s="985" t="s">
        <v>685</v>
      </c>
      <c r="E67" s="986"/>
      <c r="F67" s="986"/>
      <c r="G67" s="986"/>
      <c r="H67" s="986"/>
      <c r="I67" s="986"/>
      <c r="J67" s="987"/>
      <c r="K67" s="3289"/>
      <c r="L67" s="3290"/>
      <c r="M67" s="3283"/>
      <c r="N67" s="3283"/>
      <c r="O67" s="3283"/>
      <c r="P67" s="3283"/>
      <c r="Q67" s="3283"/>
      <c r="R67" s="3289"/>
      <c r="S67" s="3290"/>
      <c r="T67" s="971"/>
    </row>
    <row r="68" spans="1:20" x14ac:dyDescent="0.35">
      <c r="A68" s="3041" t="s">
        <v>686</v>
      </c>
      <c r="B68" s="3042"/>
      <c r="C68" s="3043"/>
      <c r="D68" s="1002"/>
      <c r="E68" s="997"/>
      <c r="F68" s="997"/>
      <c r="G68" s="997"/>
      <c r="H68" s="997"/>
      <c r="I68" s="997"/>
      <c r="J68" s="998"/>
      <c r="K68" s="3287">
        <v>851.68</v>
      </c>
      <c r="L68" s="3288"/>
      <c r="M68" s="3283">
        <v>928.55</v>
      </c>
      <c r="N68" s="3283">
        <v>200</v>
      </c>
      <c r="O68" s="3283">
        <v>200</v>
      </c>
      <c r="P68" s="3283">
        <f>M68+N68+O68</f>
        <v>1328.55</v>
      </c>
      <c r="Q68" s="3283">
        <v>1007.7294000000001</v>
      </c>
      <c r="R68" s="3287">
        <v>853.08100000000002</v>
      </c>
      <c r="S68" s="3288"/>
      <c r="T68" s="971"/>
    </row>
    <row r="69" spans="1:20" ht="14.25" customHeight="1" x14ac:dyDescent="0.35">
      <c r="A69" s="3120"/>
      <c r="B69" s="3121"/>
      <c r="C69" s="3122"/>
      <c r="D69" s="997" t="s">
        <v>687</v>
      </c>
      <c r="E69" s="997"/>
      <c r="F69" s="997"/>
      <c r="G69" s="997"/>
      <c r="H69" s="997"/>
      <c r="I69" s="997"/>
      <c r="J69" s="998"/>
      <c r="K69" s="3306"/>
      <c r="L69" s="3307"/>
      <c r="M69" s="3283"/>
      <c r="N69" s="3283"/>
      <c r="O69" s="3283"/>
      <c r="P69" s="3283"/>
      <c r="Q69" s="3283"/>
      <c r="R69" s="3306"/>
      <c r="S69" s="3307"/>
      <c r="T69" s="971"/>
    </row>
    <row r="70" spans="1:20" ht="15.75" customHeight="1" x14ac:dyDescent="0.35">
      <c r="A70" s="3120"/>
      <c r="B70" s="3121"/>
      <c r="C70" s="3122"/>
      <c r="D70" s="997" t="s">
        <v>688</v>
      </c>
      <c r="E70" s="997"/>
      <c r="F70" s="997"/>
      <c r="G70" s="997"/>
      <c r="H70" s="997"/>
      <c r="I70" s="997"/>
      <c r="J70" s="998"/>
      <c r="K70" s="3306"/>
      <c r="L70" s="3307"/>
      <c r="M70" s="3283"/>
      <c r="N70" s="3283"/>
      <c r="O70" s="3283"/>
      <c r="P70" s="3283"/>
      <c r="Q70" s="3283"/>
      <c r="R70" s="3306"/>
      <c r="S70" s="3307"/>
      <c r="T70" s="971"/>
    </row>
    <row r="71" spans="1:20" ht="15.75" customHeight="1" thickBot="1" x14ac:dyDescent="0.4">
      <c r="A71" s="3044"/>
      <c r="B71" s="3045"/>
      <c r="C71" s="3046"/>
      <c r="D71" s="986"/>
      <c r="E71" s="986"/>
      <c r="F71" s="986"/>
      <c r="G71" s="986"/>
      <c r="H71" s="986"/>
      <c r="I71" s="986"/>
      <c r="J71" s="987"/>
      <c r="K71" s="3289"/>
      <c r="L71" s="3290"/>
      <c r="M71" s="3283"/>
      <c r="N71" s="3283"/>
      <c r="O71" s="3283"/>
      <c r="P71" s="3283"/>
      <c r="Q71" s="3283"/>
      <c r="R71" s="3289"/>
      <c r="S71" s="3290"/>
      <c r="T71" s="971"/>
    </row>
    <row r="72" spans="1:20" ht="15" customHeight="1" x14ac:dyDescent="0.35">
      <c r="A72" s="3041" t="s">
        <v>689</v>
      </c>
      <c r="B72" s="3042"/>
      <c r="C72" s="3043"/>
      <c r="D72" s="982" t="s">
        <v>690</v>
      </c>
      <c r="E72" s="983"/>
      <c r="F72" s="983"/>
      <c r="G72" s="983"/>
      <c r="H72" s="983"/>
      <c r="I72" s="983"/>
      <c r="J72" s="984"/>
      <c r="K72" s="3287">
        <v>991.1</v>
      </c>
      <c r="L72" s="3288"/>
      <c r="M72" s="3310">
        <v>225.108</v>
      </c>
      <c r="N72" s="3313">
        <f>24.9+0.118</f>
        <v>25.017999999999997</v>
      </c>
      <c r="O72" s="3313">
        <v>25.018000000000001</v>
      </c>
      <c r="P72" s="3313">
        <f>M72+N72+O72</f>
        <v>275.14400000000001</v>
      </c>
      <c r="Q72" s="3313">
        <v>420.83800000000002</v>
      </c>
      <c r="R72" s="3287">
        <v>1050.5999999999999</v>
      </c>
      <c r="S72" s="3288"/>
      <c r="T72" s="971"/>
    </row>
    <row r="73" spans="1:20" ht="13.15" customHeight="1" x14ac:dyDescent="0.35">
      <c r="A73" s="3120"/>
      <c r="B73" s="3121"/>
      <c r="C73" s="3122"/>
      <c r="D73" s="996" t="s">
        <v>691</v>
      </c>
      <c r="E73" s="997"/>
      <c r="F73" s="997"/>
      <c r="G73" s="997"/>
      <c r="H73" s="997"/>
      <c r="I73" s="997"/>
      <c r="J73" s="998"/>
      <c r="K73" s="3306"/>
      <c r="L73" s="3307"/>
      <c r="M73" s="3311"/>
      <c r="N73" s="3314"/>
      <c r="O73" s="3314"/>
      <c r="P73" s="3314"/>
      <c r="Q73" s="3314"/>
      <c r="R73" s="3306"/>
      <c r="S73" s="3307"/>
      <c r="T73" s="971"/>
    </row>
    <row r="74" spans="1:20" ht="13.15" customHeight="1" x14ac:dyDescent="0.35">
      <c r="A74" s="3120"/>
      <c r="B74" s="3121"/>
      <c r="C74" s="3122"/>
      <c r="D74" s="996" t="s">
        <v>692</v>
      </c>
      <c r="E74" s="997"/>
      <c r="F74" s="997"/>
      <c r="G74" s="997"/>
      <c r="H74" s="997"/>
      <c r="I74" s="997"/>
      <c r="J74" s="998"/>
      <c r="K74" s="3306"/>
      <c r="L74" s="3307"/>
      <c r="M74" s="3311"/>
      <c r="N74" s="3314"/>
      <c r="O74" s="3314"/>
      <c r="P74" s="3314"/>
      <c r="Q74" s="3314"/>
      <c r="R74" s="3306"/>
      <c r="S74" s="3307"/>
      <c r="T74" s="971"/>
    </row>
    <row r="75" spans="1:20" ht="12.75" customHeight="1" thickBot="1" x14ac:dyDescent="0.4">
      <c r="A75" s="3044"/>
      <c r="B75" s="3045"/>
      <c r="C75" s="3046"/>
      <c r="D75" s="985" t="s">
        <v>693</v>
      </c>
      <c r="E75" s="986"/>
      <c r="F75" s="986"/>
      <c r="G75" s="986"/>
      <c r="H75" s="986"/>
      <c r="I75" s="986"/>
      <c r="J75" s="987"/>
      <c r="K75" s="3289"/>
      <c r="L75" s="3290"/>
      <c r="M75" s="3312"/>
      <c r="N75" s="3315"/>
      <c r="O75" s="3315"/>
      <c r="P75" s="3315"/>
      <c r="Q75" s="3315"/>
      <c r="R75" s="3289"/>
      <c r="S75" s="3290"/>
      <c r="T75" s="971"/>
    </row>
    <row r="76" spans="1:20" ht="15" x14ac:dyDescent="0.3">
      <c r="A76" s="3089" t="s">
        <v>694</v>
      </c>
      <c r="B76" s="3090"/>
      <c r="C76" s="3091"/>
      <c r="D76" s="976" t="s">
        <v>887</v>
      </c>
      <c r="E76" s="977"/>
      <c r="F76" s="977"/>
      <c r="G76" s="977"/>
      <c r="H76" s="977"/>
      <c r="I76" s="977"/>
      <c r="J76" s="978"/>
      <c r="K76" s="3291">
        <f>K78+K81</f>
        <v>26.5</v>
      </c>
      <c r="L76" s="3292"/>
      <c r="M76" s="3283">
        <v>97</v>
      </c>
      <c r="N76" s="3283"/>
      <c r="O76" s="3283"/>
      <c r="P76" s="3283">
        <f>P78+P81</f>
        <v>125</v>
      </c>
      <c r="Q76" s="3283">
        <v>435.29176000000001</v>
      </c>
      <c r="R76" s="3291">
        <f>R78+R81</f>
        <v>28.1</v>
      </c>
      <c r="S76" s="3292"/>
      <c r="T76" s="971"/>
    </row>
    <row r="77" spans="1:20" thickBot="1" x14ac:dyDescent="0.35">
      <c r="A77" s="3092"/>
      <c r="B77" s="3093"/>
      <c r="C77" s="3094"/>
      <c r="D77" s="979" t="s">
        <v>695</v>
      </c>
      <c r="E77" s="980"/>
      <c r="F77" s="980"/>
      <c r="G77" s="980"/>
      <c r="H77" s="980"/>
      <c r="I77" s="980"/>
      <c r="J77" s="981"/>
      <c r="K77" s="3293"/>
      <c r="L77" s="3294"/>
      <c r="M77" s="3283"/>
      <c r="N77" s="3283"/>
      <c r="O77" s="3283"/>
      <c r="P77" s="3283"/>
      <c r="Q77" s="3283"/>
      <c r="R77" s="3293"/>
      <c r="S77" s="3294"/>
      <c r="T77" s="971"/>
    </row>
    <row r="78" spans="1:20" ht="15" hidden="1" customHeight="1" x14ac:dyDescent="0.35">
      <c r="A78" s="3041" t="s">
        <v>696</v>
      </c>
      <c r="B78" s="3042"/>
      <c r="C78" s="3043"/>
      <c r="D78" s="982" t="s">
        <v>697</v>
      </c>
      <c r="E78" s="983"/>
      <c r="F78" s="983"/>
      <c r="G78" s="983"/>
      <c r="H78" s="983"/>
      <c r="I78" s="983"/>
      <c r="J78" s="984"/>
      <c r="K78" s="3287"/>
      <c r="L78" s="3316"/>
      <c r="M78" s="3283">
        <v>69</v>
      </c>
      <c r="N78" s="3283">
        <v>7</v>
      </c>
      <c r="O78" s="3283">
        <v>7</v>
      </c>
      <c r="P78" s="3283">
        <f>M78+N78+O78</f>
        <v>83</v>
      </c>
      <c r="Q78" s="3283">
        <v>0.5</v>
      </c>
      <c r="R78" s="3287"/>
      <c r="S78" s="3316"/>
      <c r="T78" s="971"/>
    </row>
    <row r="79" spans="1:20" ht="15" hidden="1" customHeight="1" x14ac:dyDescent="0.35">
      <c r="A79" s="3120"/>
      <c r="B79" s="3121"/>
      <c r="C79" s="3122"/>
      <c r="D79" s="996" t="s">
        <v>698</v>
      </c>
      <c r="E79" s="997"/>
      <c r="F79" s="997"/>
      <c r="G79" s="997"/>
      <c r="H79" s="997"/>
      <c r="I79" s="997"/>
      <c r="J79" s="998"/>
      <c r="K79" s="3317"/>
      <c r="L79" s="3318"/>
      <c r="M79" s="3283"/>
      <c r="N79" s="3283"/>
      <c r="O79" s="3283"/>
      <c r="P79" s="3283"/>
      <c r="Q79" s="3283"/>
      <c r="R79" s="3317"/>
      <c r="S79" s="3318"/>
      <c r="T79" s="971"/>
    </row>
    <row r="80" spans="1:20" ht="7.15" hidden="1" customHeight="1" x14ac:dyDescent="0.35">
      <c r="A80" s="3168"/>
      <c r="B80" s="3169"/>
      <c r="C80" s="3170"/>
      <c r="D80" s="1003"/>
      <c r="E80" s="1004"/>
      <c r="F80" s="1004"/>
      <c r="G80" s="1004"/>
      <c r="H80" s="1004"/>
      <c r="I80" s="1004"/>
      <c r="J80" s="1005"/>
      <c r="K80" s="3319"/>
      <c r="L80" s="3320"/>
      <c r="M80" s="3283"/>
      <c r="N80" s="3283"/>
      <c r="O80" s="3283"/>
      <c r="P80" s="3283"/>
      <c r="Q80" s="3283"/>
      <c r="R80" s="3319"/>
      <c r="S80" s="3320"/>
      <c r="T80" s="971"/>
    </row>
    <row r="81" spans="1:20" ht="16" thickBot="1" x14ac:dyDescent="0.4">
      <c r="A81" s="3188" t="s">
        <v>699</v>
      </c>
      <c r="B81" s="3189"/>
      <c r="C81" s="3190"/>
      <c r="D81" s="996" t="s">
        <v>700</v>
      </c>
      <c r="E81" s="997"/>
      <c r="F81" s="997"/>
      <c r="G81" s="997"/>
      <c r="H81" s="997"/>
      <c r="I81" s="997"/>
      <c r="J81" s="998"/>
      <c r="K81" s="3321">
        <v>26.5</v>
      </c>
      <c r="L81" s="3322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321">
        <v>28.1</v>
      </c>
      <c r="S81" s="3322"/>
      <c r="T81" s="971"/>
    </row>
    <row r="82" spans="1:20" ht="15" hidden="1" x14ac:dyDescent="0.3">
      <c r="A82" s="3089" t="s">
        <v>701</v>
      </c>
      <c r="B82" s="3090"/>
      <c r="C82" s="3091"/>
      <c r="D82" s="976" t="s">
        <v>702</v>
      </c>
      <c r="E82" s="977"/>
      <c r="F82" s="977"/>
      <c r="G82" s="977"/>
      <c r="H82" s="977"/>
      <c r="I82" s="977"/>
      <c r="J82" s="978"/>
      <c r="K82" s="3291">
        <f>K85+K90+K84</f>
        <v>0</v>
      </c>
      <c r="L82" s="3292"/>
      <c r="M82" s="3283">
        <v>530</v>
      </c>
      <c r="N82" s="3283"/>
      <c r="O82" s="3283"/>
      <c r="P82" s="3283">
        <f>P84+P85+P90</f>
        <v>590</v>
      </c>
      <c r="Q82" s="3283">
        <v>375.10428000000002</v>
      </c>
      <c r="R82" s="3291">
        <f>R85+R90+R84</f>
        <v>0</v>
      </c>
      <c r="S82" s="3292"/>
      <c r="T82" s="971"/>
    </row>
    <row r="83" spans="1:20" hidden="1" thickBot="1" x14ac:dyDescent="0.35">
      <c r="A83" s="3092"/>
      <c r="B83" s="3093"/>
      <c r="C83" s="3094"/>
      <c r="D83" s="979" t="s">
        <v>703</v>
      </c>
      <c r="E83" s="980"/>
      <c r="F83" s="980"/>
      <c r="G83" s="980"/>
      <c r="H83" s="980"/>
      <c r="I83" s="980"/>
      <c r="J83" s="981"/>
      <c r="K83" s="3293"/>
      <c r="L83" s="3294"/>
      <c r="M83" s="3313"/>
      <c r="N83" s="3313"/>
      <c r="O83" s="3313"/>
      <c r="P83" s="3313"/>
      <c r="Q83" s="3313"/>
      <c r="R83" s="3293"/>
      <c r="S83" s="3294"/>
      <c r="T83" s="971"/>
    </row>
    <row r="84" spans="1:20" ht="15.65" hidden="1" customHeight="1" x14ac:dyDescent="0.35">
      <c r="A84" s="3181" t="s">
        <v>704</v>
      </c>
      <c r="B84" s="3182"/>
      <c r="C84" s="3183"/>
      <c r="D84" s="1006" t="s">
        <v>705</v>
      </c>
      <c r="E84" s="1007"/>
      <c r="F84" s="1007"/>
      <c r="G84" s="1007"/>
      <c r="H84" s="1007"/>
      <c r="I84" s="1007"/>
      <c r="J84" s="1008"/>
      <c r="K84" s="3323"/>
      <c r="L84" s="3324"/>
      <c r="M84" s="1021"/>
      <c r="N84" s="1022"/>
      <c r="O84" s="1022"/>
      <c r="P84" s="1022"/>
      <c r="Q84" s="1023">
        <v>62.085000000000001</v>
      </c>
      <c r="R84" s="3323"/>
      <c r="S84" s="3324"/>
      <c r="T84" s="971"/>
    </row>
    <row r="85" spans="1:20" hidden="1" x14ac:dyDescent="0.35">
      <c r="A85" s="3198" t="s">
        <v>706</v>
      </c>
      <c r="B85" s="3199"/>
      <c r="C85" s="3200"/>
      <c r="D85" s="996" t="s">
        <v>707</v>
      </c>
      <c r="E85" s="997"/>
      <c r="F85" s="997"/>
      <c r="G85" s="997"/>
      <c r="H85" s="997"/>
      <c r="I85" s="997"/>
      <c r="J85" s="998"/>
      <c r="K85" s="3306">
        <v>0</v>
      </c>
      <c r="L85" s="3307"/>
      <c r="M85" s="3315">
        <v>190</v>
      </c>
      <c r="N85" s="3315">
        <v>30</v>
      </c>
      <c r="O85" s="3315">
        <v>30</v>
      </c>
      <c r="P85" s="3315">
        <f>M85+N85+O85</f>
        <v>250</v>
      </c>
      <c r="Q85" s="3315">
        <v>243.4375</v>
      </c>
      <c r="R85" s="3306">
        <v>0</v>
      </c>
      <c r="S85" s="3307"/>
      <c r="T85" s="971"/>
    </row>
    <row r="86" spans="1:20" hidden="1" x14ac:dyDescent="0.35">
      <c r="A86" s="3120"/>
      <c r="B86" s="3121"/>
      <c r="C86" s="3122"/>
      <c r="D86" s="996" t="s">
        <v>708</v>
      </c>
      <c r="E86" s="997"/>
      <c r="F86" s="997"/>
      <c r="G86" s="997"/>
      <c r="H86" s="997"/>
      <c r="I86" s="997"/>
      <c r="J86" s="998"/>
      <c r="K86" s="3306"/>
      <c r="L86" s="3307"/>
      <c r="M86" s="3283"/>
      <c r="N86" s="3283"/>
      <c r="O86" s="3283"/>
      <c r="P86" s="3283"/>
      <c r="Q86" s="3283"/>
      <c r="R86" s="3306"/>
      <c r="S86" s="3307"/>
      <c r="T86" s="971"/>
    </row>
    <row r="87" spans="1:20" hidden="1" x14ac:dyDescent="0.35">
      <c r="A87" s="3120"/>
      <c r="B87" s="3121"/>
      <c r="C87" s="3122"/>
      <c r="D87" s="996" t="s">
        <v>709</v>
      </c>
      <c r="E87" s="997"/>
      <c r="F87" s="997"/>
      <c r="G87" s="997"/>
      <c r="H87" s="997"/>
      <c r="I87" s="997"/>
      <c r="J87" s="998"/>
      <c r="K87" s="3306"/>
      <c r="L87" s="3307"/>
      <c r="M87" s="3283"/>
      <c r="N87" s="3283"/>
      <c r="O87" s="3283"/>
      <c r="P87" s="3283"/>
      <c r="Q87" s="3283"/>
      <c r="R87" s="3306"/>
      <c r="S87" s="3307"/>
      <c r="T87" s="971"/>
    </row>
    <row r="88" spans="1:20" hidden="1" x14ac:dyDescent="0.35">
      <c r="A88" s="3120"/>
      <c r="B88" s="3121"/>
      <c r="C88" s="3122"/>
      <c r="D88" s="996" t="s">
        <v>710</v>
      </c>
      <c r="E88" s="997"/>
      <c r="F88" s="997"/>
      <c r="G88" s="997"/>
      <c r="H88" s="997"/>
      <c r="I88" s="997"/>
      <c r="J88" s="998"/>
      <c r="K88" s="3306"/>
      <c r="L88" s="3307"/>
      <c r="M88" s="3283"/>
      <c r="N88" s="3283"/>
      <c r="O88" s="3283"/>
      <c r="P88" s="3283"/>
      <c r="Q88" s="3283"/>
      <c r="R88" s="3306"/>
      <c r="S88" s="3307"/>
      <c r="T88" s="971"/>
    </row>
    <row r="89" spans="1:20" ht="16" hidden="1" thickBot="1" x14ac:dyDescent="0.4">
      <c r="A89" s="3044"/>
      <c r="B89" s="3045"/>
      <c r="C89" s="3046"/>
      <c r="D89" s="985" t="s">
        <v>711</v>
      </c>
      <c r="E89" s="986"/>
      <c r="F89" s="986"/>
      <c r="G89" s="986"/>
      <c r="H89" s="986"/>
      <c r="I89" s="986"/>
      <c r="J89" s="987"/>
      <c r="K89" s="3289"/>
      <c r="L89" s="3290"/>
      <c r="M89" s="3283"/>
      <c r="N89" s="3283"/>
      <c r="O89" s="3283"/>
      <c r="P89" s="3283"/>
      <c r="Q89" s="3283"/>
      <c r="R89" s="3289"/>
      <c r="S89" s="3290"/>
      <c r="T89" s="971"/>
    </row>
    <row r="90" spans="1:20" ht="15.65" hidden="1" customHeight="1" thickBot="1" x14ac:dyDescent="0.4">
      <c r="A90" s="3041" t="s">
        <v>712</v>
      </c>
      <c r="B90" s="3042"/>
      <c r="C90" s="3043"/>
      <c r="D90" s="996" t="s">
        <v>713</v>
      </c>
      <c r="E90" s="997"/>
      <c r="F90" s="997"/>
      <c r="G90" s="997"/>
      <c r="H90" s="997"/>
      <c r="I90" s="997"/>
      <c r="J90" s="998"/>
      <c r="K90" s="3287"/>
      <c r="L90" s="3288"/>
      <c r="M90" s="3283">
        <v>340</v>
      </c>
      <c r="N90" s="3283"/>
      <c r="O90" s="3283"/>
      <c r="P90" s="3283">
        <f>M90+N90+O90</f>
        <v>340</v>
      </c>
      <c r="Q90" s="3283">
        <v>69.581779999999995</v>
      </c>
      <c r="R90" s="3287"/>
      <c r="S90" s="3288"/>
      <c r="T90" s="971"/>
    </row>
    <row r="91" spans="1:20" ht="15.65" hidden="1" customHeight="1" thickBot="1" x14ac:dyDescent="0.4">
      <c r="A91" s="3120"/>
      <c r="B91" s="3121"/>
      <c r="C91" s="3122"/>
      <c r="D91" s="996" t="s">
        <v>714</v>
      </c>
      <c r="E91" s="997"/>
      <c r="F91" s="997"/>
      <c r="G91" s="997"/>
      <c r="H91" s="997"/>
      <c r="I91" s="997"/>
      <c r="J91" s="998"/>
      <c r="K91" s="3306"/>
      <c r="L91" s="3307"/>
      <c r="M91" s="3283"/>
      <c r="N91" s="3283"/>
      <c r="O91" s="3283"/>
      <c r="P91" s="3283"/>
      <c r="Q91" s="3283"/>
      <c r="R91" s="3306"/>
      <c r="S91" s="3307"/>
      <c r="T91" s="971"/>
    </row>
    <row r="92" spans="1:20" ht="15.65" hidden="1" customHeight="1" thickBot="1" x14ac:dyDescent="0.4">
      <c r="A92" s="3120"/>
      <c r="B92" s="3121"/>
      <c r="C92" s="3122"/>
      <c r="D92" s="996" t="s">
        <v>715</v>
      </c>
      <c r="E92" s="997"/>
      <c r="F92" s="997"/>
      <c r="G92" s="997"/>
      <c r="H92" s="997"/>
      <c r="I92" s="997"/>
      <c r="J92" s="998"/>
      <c r="K92" s="3306"/>
      <c r="L92" s="3307"/>
      <c r="M92" s="3283"/>
      <c r="N92" s="3283"/>
      <c r="O92" s="3283"/>
      <c r="P92" s="3283"/>
      <c r="Q92" s="3283"/>
      <c r="R92" s="3306"/>
      <c r="S92" s="3307"/>
      <c r="T92" s="971"/>
    </row>
    <row r="93" spans="1:20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306"/>
      <c r="L93" s="3307"/>
      <c r="M93" s="1015"/>
      <c r="N93" s="1015"/>
      <c r="O93" s="1015"/>
      <c r="P93" s="1015"/>
      <c r="Q93" s="1016"/>
      <c r="R93" s="3306"/>
      <c r="S93" s="3307"/>
      <c r="T93" s="971"/>
    </row>
    <row r="94" spans="1:20" ht="15.75" customHeight="1" x14ac:dyDescent="0.3">
      <c r="A94" s="3089" t="s">
        <v>716</v>
      </c>
      <c r="B94" s="3090"/>
      <c r="C94" s="3091"/>
      <c r="D94" s="3110" t="s">
        <v>717</v>
      </c>
      <c r="E94" s="3111"/>
      <c r="F94" s="3111"/>
      <c r="G94" s="3111"/>
      <c r="H94" s="3111"/>
      <c r="I94" s="3111"/>
      <c r="J94" s="3112"/>
      <c r="K94" s="3291">
        <f>K96</f>
        <v>20</v>
      </c>
      <c r="L94" s="3292"/>
      <c r="M94" s="1015"/>
      <c r="N94" s="1015"/>
      <c r="O94" s="1015"/>
      <c r="P94" s="1015"/>
      <c r="Q94" s="1016"/>
      <c r="R94" s="3291">
        <f>R96</f>
        <v>20</v>
      </c>
      <c r="S94" s="3292"/>
      <c r="T94" s="971"/>
    </row>
    <row r="95" spans="1:20" ht="15.75" customHeight="1" thickBot="1" x14ac:dyDescent="0.35">
      <c r="A95" s="3092"/>
      <c r="B95" s="3093"/>
      <c r="C95" s="3094"/>
      <c r="D95" s="3113"/>
      <c r="E95" s="3114"/>
      <c r="F95" s="3114"/>
      <c r="G95" s="3114"/>
      <c r="H95" s="3114"/>
      <c r="I95" s="3114"/>
      <c r="J95" s="3115"/>
      <c r="K95" s="3325"/>
      <c r="L95" s="3326"/>
      <c r="M95" s="1015"/>
      <c r="N95" s="1015"/>
      <c r="O95" s="1015"/>
      <c r="P95" s="1015"/>
      <c r="Q95" s="1016"/>
      <c r="R95" s="3325"/>
      <c r="S95" s="3326"/>
      <c r="T95" s="971"/>
    </row>
    <row r="96" spans="1:20" ht="15.75" customHeight="1" x14ac:dyDescent="0.3">
      <c r="A96" s="3041" t="s">
        <v>718</v>
      </c>
      <c r="B96" s="3042"/>
      <c r="C96" s="3043"/>
      <c r="D96" s="3203" t="s">
        <v>719</v>
      </c>
      <c r="E96" s="3204"/>
      <c r="F96" s="3204"/>
      <c r="G96" s="3204"/>
      <c r="H96" s="3204"/>
      <c r="I96" s="3204"/>
      <c r="J96" s="3205"/>
      <c r="K96" s="3287">
        <v>20</v>
      </c>
      <c r="L96" s="3288"/>
      <c r="M96" s="1015"/>
      <c r="N96" s="1015"/>
      <c r="O96" s="1015"/>
      <c r="P96" s="1015"/>
      <c r="Q96" s="1016"/>
      <c r="R96" s="3287">
        <v>20</v>
      </c>
      <c r="S96" s="3288"/>
      <c r="T96" s="971"/>
    </row>
    <row r="97" spans="1:20" ht="27" customHeight="1" thickBot="1" x14ac:dyDescent="0.35">
      <c r="A97" s="3044"/>
      <c r="B97" s="3045"/>
      <c r="C97" s="3046"/>
      <c r="D97" s="3206"/>
      <c r="E97" s="3207"/>
      <c r="F97" s="3207"/>
      <c r="G97" s="3207"/>
      <c r="H97" s="3207"/>
      <c r="I97" s="3207"/>
      <c r="J97" s="3208"/>
      <c r="K97" s="3327"/>
      <c r="L97" s="3328"/>
      <c r="M97" s="1015"/>
      <c r="N97" s="1015"/>
      <c r="O97" s="1015"/>
      <c r="P97" s="1015"/>
      <c r="Q97" s="1016"/>
      <c r="R97" s="3327"/>
      <c r="S97" s="3328"/>
      <c r="T97" s="971"/>
    </row>
    <row r="98" spans="1:20" ht="15" x14ac:dyDescent="0.3">
      <c r="A98" s="3051" t="s">
        <v>720</v>
      </c>
      <c r="B98" s="3052"/>
      <c r="C98" s="3053"/>
      <c r="D98" s="976"/>
      <c r="E98" s="977"/>
      <c r="F98" s="977"/>
      <c r="G98" s="977"/>
      <c r="H98" s="977"/>
      <c r="I98" s="977"/>
      <c r="J98" s="978"/>
      <c r="K98" s="3291">
        <f>K100</f>
        <v>26.5</v>
      </c>
      <c r="L98" s="3292"/>
      <c r="M98" s="3283">
        <v>90</v>
      </c>
      <c r="N98" s="3283"/>
      <c r="O98" s="3283"/>
      <c r="P98" s="3283">
        <f>P100</f>
        <v>150</v>
      </c>
      <c r="Q98" s="3283">
        <v>129.83756</v>
      </c>
      <c r="R98" s="3291">
        <f>R100</f>
        <v>28.1</v>
      </c>
      <c r="S98" s="3292"/>
      <c r="T98" s="971"/>
    </row>
    <row r="99" spans="1:20" thickBot="1" x14ac:dyDescent="0.35">
      <c r="A99" s="3054"/>
      <c r="B99" s="3055"/>
      <c r="C99" s="3056"/>
      <c r="D99" s="1009" t="s">
        <v>721</v>
      </c>
      <c r="E99" s="1010"/>
      <c r="F99" s="1010"/>
      <c r="G99" s="1010"/>
      <c r="H99" s="1010"/>
      <c r="I99" s="1010"/>
      <c r="J99" s="1011"/>
      <c r="K99" s="3325"/>
      <c r="L99" s="3326"/>
      <c r="M99" s="3283"/>
      <c r="N99" s="3283"/>
      <c r="O99" s="3283"/>
      <c r="P99" s="3283"/>
      <c r="Q99" s="3283"/>
      <c r="R99" s="3325"/>
      <c r="S99" s="3326"/>
      <c r="T99" s="971"/>
    </row>
    <row r="100" spans="1:20" ht="15" x14ac:dyDescent="0.3">
      <c r="A100" s="3038" t="s">
        <v>722</v>
      </c>
      <c r="B100" s="3039"/>
      <c r="C100" s="3040"/>
      <c r="D100" s="976"/>
      <c r="E100" s="977"/>
      <c r="F100" s="977"/>
      <c r="G100" s="977"/>
      <c r="H100" s="977"/>
      <c r="I100" s="977"/>
      <c r="J100" s="978"/>
      <c r="K100" s="3287">
        <v>26.5</v>
      </c>
      <c r="L100" s="3288"/>
      <c r="M100" s="3283">
        <v>90</v>
      </c>
      <c r="N100" s="3283">
        <v>30</v>
      </c>
      <c r="O100" s="3283">
        <v>30</v>
      </c>
      <c r="P100" s="3283">
        <f>M100+N100+O100</f>
        <v>150</v>
      </c>
      <c r="Q100" s="3283">
        <v>117.42055999999999</v>
      </c>
      <c r="R100" s="3287">
        <v>28.1</v>
      </c>
      <c r="S100" s="3288"/>
      <c r="T100" s="971"/>
    </row>
    <row r="101" spans="1:20" ht="16" thickBot="1" x14ac:dyDescent="0.4">
      <c r="A101" s="3032"/>
      <c r="B101" s="3025"/>
      <c r="C101" s="3033"/>
      <c r="D101" s="1003" t="s">
        <v>723</v>
      </c>
      <c r="E101" s="1010"/>
      <c r="F101" s="1010"/>
      <c r="G101" s="1010"/>
      <c r="H101" s="1010"/>
      <c r="I101" s="1010"/>
      <c r="J101" s="1011"/>
      <c r="K101" s="3327"/>
      <c r="L101" s="3328"/>
      <c r="M101" s="3283"/>
      <c r="N101" s="3283"/>
      <c r="O101" s="3283"/>
      <c r="P101" s="3283"/>
      <c r="Q101" s="3283"/>
      <c r="R101" s="3327"/>
      <c r="S101" s="3328"/>
      <c r="T101" s="971"/>
    </row>
    <row r="102" spans="1:20" ht="15.65" customHeight="1" x14ac:dyDescent="0.3">
      <c r="A102" s="3051" t="s">
        <v>724</v>
      </c>
      <c r="B102" s="3052"/>
      <c r="C102" s="3053"/>
      <c r="D102" s="976"/>
      <c r="E102" s="977"/>
      <c r="F102" s="977"/>
      <c r="G102" s="977"/>
      <c r="H102" s="977"/>
      <c r="I102" s="977"/>
      <c r="J102" s="978"/>
      <c r="K102" s="3291">
        <f>K105+K110+K111+K112+K114+K106+L107+K113+K109+K108</f>
        <v>20143.5</v>
      </c>
      <c r="L102" s="3292"/>
      <c r="M102" s="3283">
        <v>8484.0619999999999</v>
      </c>
      <c r="N102" s="3283"/>
      <c r="O102" s="3283"/>
      <c r="P102" s="3283">
        <f>P105+P110+P111+P112+P114</f>
        <v>8524.0619999999999</v>
      </c>
      <c r="Q102" s="3283">
        <v>3580.9459499999998</v>
      </c>
      <c r="R102" s="3291">
        <f>R105+R110+R111+R112+R114+R106+S107+R113+R109+R108</f>
        <v>20057.400000000001</v>
      </c>
      <c r="S102" s="3292"/>
      <c r="T102" s="971"/>
    </row>
    <row r="103" spans="1:20" ht="15.65" customHeight="1" x14ac:dyDescent="0.3">
      <c r="A103" s="3231"/>
      <c r="B103" s="3232"/>
      <c r="C103" s="3233"/>
      <c r="D103" s="999" t="s">
        <v>725</v>
      </c>
      <c r="E103" s="1000"/>
      <c r="F103" s="1000"/>
      <c r="G103" s="1000"/>
      <c r="H103" s="1000"/>
      <c r="I103" s="1000"/>
      <c r="J103" s="1001"/>
      <c r="K103" s="3308"/>
      <c r="L103" s="3309"/>
      <c r="M103" s="3283"/>
      <c r="N103" s="3283"/>
      <c r="O103" s="3283"/>
      <c r="P103" s="3283"/>
      <c r="Q103" s="3283"/>
      <c r="R103" s="3308"/>
      <c r="S103" s="3309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93"/>
      <c r="L104" s="3294"/>
      <c r="M104" s="1015"/>
      <c r="N104" s="1015"/>
      <c r="O104" s="1015"/>
      <c r="P104" s="1015"/>
      <c r="Q104" s="1016"/>
      <c r="R104" s="3293"/>
      <c r="S104" s="3294"/>
      <c r="T104" s="971"/>
    </row>
    <row r="105" spans="1:20" ht="34.5" customHeight="1" thickBot="1" x14ac:dyDescent="0.4">
      <c r="A105" s="3211" t="s">
        <v>726</v>
      </c>
      <c r="B105" s="3212"/>
      <c r="C105" s="3213"/>
      <c r="D105" s="3214" t="s">
        <v>864</v>
      </c>
      <c r="E105" s="3225"/>
      <c r="F105" s="3225"/>
      <c r="G105" s="3225"/>
      <c r="H105" s="3225"/>
      <c r="I105" s="3225"/>
      <c r="J105" s="3226"/>
      <c r="K105" s="3295">
        <f>18807.1</f>
        <v>18807.099999999999</v>
      </c>
      <c r="L105" s="3296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295">
        <v>19358.900000000001</v>
      </c>
      <c r="S105" s="3296"/>
      <c r="T105" s="971"/>
    </row>
    <row r="106" spans="1:20" ht="34.5" hidden="1" customHeight="1" thickBot="1" x14ac:dyDescent="0.4">
      <c r="A106" s="3211" t="s">
        <v>727</v>
      </c>
      <c r="B106" s="3212"/>
      <c r="C106" s="3213"/>
      <c r="D106" s="3214" t="s">
        <v>796</v>
      </c>
      <c r="E106" s="3225"/>
      <c r="F106" s="3225"/>
      <c r="G106" s="3225"/>
      <c r="H106" s="3225"/>
      <c r="I106" s="3225"/>
      <c r="J106" s="3226"/>
      <c r="K106" s="3295"/>
      <c r="L106" s="3296"/>
      <c r="M106" s="1015"/>
      <c r="N106" s="1015"/>
      <c r="O106" s="1015"/>
      <c r="P106" s="1015"/>
      <c r="Q106" s="1016"/>
      <c r="R106" s="3295"/>
      <c r="S106" s="3296"/>
      <c r="T106" s="971"/>
    </row>
    <row r="107" spans="1:20" ht="36.75" hidden="1" customHeight="1" thickBot="1" x14ac:dyDescent="0.4">
      <c r="A107" s="3211" t="s">
        <v>729</v>
      </c>
      <c r="B107" s="3212"/>
      <c r="C107" s="3213"/>
      <c r="D107" s="3214" t="s">
        <v>730</v>
      </c>
      <c r="E107" s="3225"/>
      <c r="F107" s="3225"/>
      <c r="G107" s="3225"/>
      <c r="H107" s="3225"/>
      <c r="I107" s="3225"/>
      <c r="J107" s="3226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hidden="1" customHeight="1" thickBot="1" x14ac:dyDescent="0.4">
      <c r="A108" s="3211" t="s">
        <v>731</v>
      </c>
      <c r="B108" s="3212"/>
      <c r="C108" s="3213"/>
      <c r="D108" s="3329" t="s">
        <v>732</v>
      </c>
      <c r="E108" s="3330"/>
      <c r="F108" s="3330"/>
      <c r="G108" s="3330"/>
      <c r="H108" s="3330"/>
      <c r="I108" s="3330"/>
      <c r="J108" s="3331"/>
      <c r="K108" s="3242"/>
      <c r="L108" s="3243"/>
      <c r="M108" s="1015"/>
      <c r="N108" s="1015"/>
      <c r="O108" s="1015"/>
      <c r="P108" s="1015"/>
      <c r="Q108" s="1016"/>
      <c r="R108" s="3242"/>
      <c r="S108" s="3243"/>
      <c r="T108" s="971"/>
    </row>
    <row r="109" spans="1:20" ht="60.65" hidden="1" customHeight="1" thickBot="1" x14ac:dyDescent="0.4">
      <c r="A109" s="3211" t="s">
        <v>733</v>
      </c>
      <c r="B109" s="3212"/>
      <c r="C109" s="3213"/>
      <c r="D109" s="3246" t="s">
        <v>734</v>
      </c>
      <c r="E109" s="3247"/>
      <c r="F109" s="3247"/>
      <c r="G109" s="3247"/>
      <c r="H109" s="3247"/>
      <c r="I109" s="3247"/>
      <c r="J109" s="3248"/>
      <c r="K109" s="3242"/>
      <c r="L109" s="3243"/>
      <c r="M109" s="1015"/>
      <c r="N109" s="1015"/>
      <c r="O109" s="1015"/>
      <c r="P109" s="1015"/>
      <c r="Q109" s="1016"/>
      <c r="R109" s="3242"/>
      <c r="S109" s="3243"/>
      <c r="T109" s="971"/>
    </row>
    <row r="110" spans="1:20" ht="36.75" customHeight="1" thickBot="1" x14ac:dyDescent="0.4">
      <c r="A110" s="3211" t="s">
        <v>735</v>
      </c>
      <c r="B110" s="3212"/>
      <c r="C110" s="3213"/>
      <c r="D110" s="3214" t="s">
        <v>736</v>
      </c>
      <c r="E110" s="3225"/>
      <c r="F110" s="3225"/>
      <c r="G110" s="3225"/>
      <c r="H110" s="3225"/>
      <c r="I110" s="3225"/>
      <c r="J110" s="3226"/>
      <c r="K110" s="3242">
        <v>662.9</v>
      </c>
      <c r="L110" s="3243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242">
        <v>0</v>
      </c>
      <c r="S110" s="3243"/>
      <c r="T110" s="971"/>
    </row>
    <row r="111" spans="1:20" ht="53.25" customHeight="1" thickBot="1" x14ac:dyDescent="0.4">
      <c r="A111" s="3211" t="s">
        <v>737</v>
      </c>
      <c r="B111" s="3212"/>
      <c r="C111" s="3213"/>
      <c r="D111" s="3214" t="s">
        <v>889</v>
      </c>
      <c r="E111" s="3225"/>
      <c r="F111" s="3225"/>
      <c r="G111" s="3225"/>
      <c r="H111" s="3225"/>
      <c r="I111" s="3225"/>
      <c r="J111" s="3226"/>
      <c r="K111" s="3242">
        <f>598.5+0.008</f>
        <v>598.50800000000004</v>
      </c>
      <c r="L111" s="3243"/>
      <c r="M111" s="1015">
        <v>10</v>
      </c>
      <c r="N111" s="1015"/>
      <c r="O111" s="1015"/>
      <c r="P111" s="1015">
        <v>10</v>
      </c>
      <c r="Q111" s="1016">
        <v>10</v>
      </c>
      <c r="R111" s="3242">
        <f>598.5+0.008</f>
        <v>598.50800000000004</v>
      </c>
      <c r="S111" s="3243"/>
      <c r="T111" s="971"/>
    </row>
    <row r="112" spans="1:20" ht="49.15" hidden="1" customHeight="1" thickBot="1" x14ac:dyDescent="0.4">
      <c r="A112" s="3211" t="s">
        <v>738</v>
      </c>
      <c r="B112" s="3212"/>
      <c r="C112" s="3213"/>
      <c r="D112" s="3214" t="s">
        <v>739</v>
      </c>
      <c r="E112" s="3225"/>
      <c r="F112" s="3225"/>
      <c r="G112" s="3225"/>
      <c r="H112" s="3225"/>
      <c r="I112" s="3225"/>
      <c r="J112" s="3226"/>
      <c r="K112" s="3242"/>
      <c r="L112" s="3243"/>
      <c r="M112" s="1015">
        <v>613</v>
      </c>
      <c r="N112" s="1015"/>
      <c r="O112" s="1015"/>
      <c r="P112" s="1015">
        <v>613</v>
      </c>
      <c r="Q112" s="1016">
        <v>613</v>
      </c>
      <c r="R112" s="3242"/>
      <c r="S112" s="3243"/>
      <c r="T112" s="971"/>
    </row>
    <row r="113" spans="1:20" ht="58.9" hidden="1" customHeight="1" thickBot="1" x14ac:dyDescent="0.4">
      <c r="A113" s="3211" t="s">
        <v>740</v>
      </c>
      <c r="B113" s="3212"/>
      <c r="C113" s="3213"/>
      <c r="D113" s="3214" t="s">
        <v>741</v>
      </c>
      <c r="E113" s="3225"/>
      <c r="F113" s="3225"/>
      <c r="G113" s="3225"/>
      <c r="H113" s="3225"/>
      <c r="I113" s="3225"/>
      <c r="J113" s="3226"/>
      <c r="K113" s="3242"/>
      <c r="L113" s="3243"/>
      <c r="M113" s="1015"/>
      <c r="N113" s="1015"/>
      <c r="O113" s="1015"/>
      <c r="P113" s="1015"/>
      <c r="Q113" s="1016"/>
      <c r="R113" s="3242"/>
      <c r="S113" s="3243"/>
      <c r="T113" s="971"/>
    </row>
    <row r="114" spans="1:20" ht="34.5" customHeight="1" thickBot="1" x14ac:dyDescent="0.4">
      <c r="A114" s="3211" t="s">
        <v>742</v>
      </c>
      <c r="B114" s="3212"/>
      <c r="C114" s="3213"/>
      <c r="D114" s="3257" t="s">
        <v>743</v>
      </c>
      <c r="E114" s="3258"/>
      <c r="F114" s="3258"/>
      <c r="G114" s="3258"/>
      <c r="H114" s="3258"/>
      <c r="I114" s="3258"/>
      <c r="J114" s="3259"/>
      <c r="K114" s="3295">
        <f>75-0.008</f>
        <v>74.992000000000004</v>
      </c>
      <c r="L114" s="3296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295">
        <f>100-0.008</f>
        <v>99.992000000000004</v>
      </c>
      <c r="S114" s="3296"/>
      <c r="T114" s="971"/>
    </row>
    <row r="115" spans="1:20" ht="12.75" customHeight="1" x14ac:dyDescent="0.35">
      <c r="A115" s="3051" t="s">
        <v>744</v>
      </c>
      <c r="B115" s="3052"/>
      <c r="C115" s="3053"/>
      <c r="D115" s="982"/>
      <c r="E115" s="983"/>
      <c r="F115" s="983"/>
      <c r="G115" s="983"/>
      <c r="H115" s="983"/>
      <c r="I115" s="983"/>
      <c r="J115" s="984"/>
      <c r="K115" s="3291">
        <f>K32+K102</f>
        <v>98386.68</v>
      </c>
      <c r="L115" s="3292"/>
      <c r="M115" s="3283">
        <v>25719.42</v>
      </c>
      <c r="N115" s="3283"/>
      <c r="O115" s="3283"/>
      <c r="P115" s="3313">
        <f>P32+P102</f>
        <v>29736.455999999998</v>
      </c>
      <c r="Q115" s="3283"/>
      <c r="R115" s="3291">
        <f>R32+R102</f>
        <v>102895.68100000001</v>
      </c>
      <c r="S115" s="3292"/>
      <c r="T115" s="971"/>
    </row>
    <row r="116" spans="1:20" ht="16.5" customHeight="1" thickBot="1" x14ac:dyDescent="0.4">
      <c r="A116" s="3054"/>
      <c r="B116" s="3055"/>
      <c r="C116" s="3056"/>
      <c r="D116" s="979"/>
      <c r="E116" s="980"/>
      <c r="F116" s="980"/>
      <c r="G116" s="986"/>
      <c r="H116" s="986"/>
      <c r="I116" s="986"/>
      <c r="J116" s="987"/>
      <c r="K116" s="3293"/>
      <c r="L116" s="3294"/>
      <c r="M116" s="3283"/>
      <c r="N116" s="3283"/>
      <c r="O116" s="3283"/>
      <c r="P116" s="3315"/>
      <c r="Q116" s="3283"/>
      <c r="R116" s="3293"/>
      <c r="S116" s="3294"/>
      <c r="T116" s="971"/>
    </row>
    <row r="117" spans="1:20" x14ac:dyDescent="0.3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354" t="s">
        <v>991</v>
      </c>
      <c r="I5" s="3354"/>
      <c r="J5" s="3354"/>
      <c r="K5" s="3354"/>
      <c r="L5" s="3354"/>
      <c r="M5" s="3354"/>
      <c r="N5" s="3354"/>
      <c r="O5" s="3354"/>
      <c r="P5" s="3354"/>
      <c r="Q5" s="3354"/>
      <c r="R5" s="3354"/>
      <c r="S5" s="3354"/>
      <c r="T5" s="3354"/>
      <c r="U5" s="3354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488"/>
      <c r="C12" s="3488"/>
      <c r="D12" s="3488"/>
      <c r="E12" s="3488"/>
      <c r="F12" s="3488"/>
      <c r="G12" s="3488"/>
      <c r="H12" s="3488"/>
      <c r="I12" s="1830" t="e">
        <f>I10-I11-#REF!</f>
        <v>#REF!</v>
      </c>
      <c r="N12" s="237"/>
      <c r="U12" s="237"/>
    </row>
    <row r="13" spans="1:27" ht="15.65" customHeight="1" x14ac:dyDescent="0.25">
      <c r="A13" s="3489" t="s">
        <v>614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  <c r="M13" s="3489"/>
      <c r="N13" s="3489"/>
      <c r="O13" s="3489"/>
      <c r="P13" s="3489"/>
      <c r="Q13" s="3489"/>
      <c r="R13" s="3489"/>
      <c r="S13" s="3489"/>
      <c r="T13" s="3489"/>
      <c r="U13" s="3489"/>
      <c r="AA13" s="1831"/>
    </row>
    <row r="14" spans="1:27" ht="15.65" customHeight="1" x14ac:dyDescent="0.25">
      <c r="A14" s="3489" t="s">
        <v>613</v>
      </c>
      <c r="B14" s="3489"/>
      <c r="C14" s="3489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AA14" s="1832"/>
    </row>
    <row r="15" spans="1:27" ht="15" customHeight="1" x14ac:dyDescent="0.25">
      <c r="A15" s="3489" t="s">
        <v>995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3489"/>
      <c r="N15" s="3489"/>
      <c r="O15" s="3489"/>
      <c r="P15" s="3489"/>
      <c r="Q15" s="3489"/>
      <c r="R15" s="3489"/>
      <c r="S15" s="3489"/>
      <c r="T15" s="3489"/>
      <c r="U15" s="3489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 x14ac:dyDescent="0.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 x14ac:dyDescent="0.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21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1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1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1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3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1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3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1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1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1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1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1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1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1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1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1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1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1.5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1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2.5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1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" x14ac:dyDescent="0.3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1.5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1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1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1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1.5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1.5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2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1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1.5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1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1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49999999999999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49999999999999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 x14ac:dyDescent="0.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 x14ac:dyDescent="0.3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ht="13" x14ac:dyDescent="0.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1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1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21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1.5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4.5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1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1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 x14ac:dyDescent="0.3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81">
        <f t="shared" ref="U455:U457" si="110">U456</f>
        <v>0</v>
      </c>
    </row>
    <row r="456" spans="1:21" ht="13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82">
        <f t="shared" si="110"/>
        <v>0</v>
      </c>
    </row>
    <row r="457" spans="1:21" ht="13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82">
        <f t="shared" si="110"/>
        <v>0</v>
      </c>
    </row>
    <row r="458" spans="1:21" ht="20.5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" hidden="1" thickBot="1" x14ac:dyDescent="0.3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86">
        <f t="shared" ref="U462:U465" si="113">U463</f>
        <v>7296.08</v>
      </c>
    </row>
    <row r="463" spans="1:21" ht="3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86">
        <f t="shared" si="113"/>
        <v>7296.08</v>
      </c>
    </row>
    <row r="464" spans="1:21" ht="30.5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82">
        <f t="shared" si="113"/>
        <v>7296.08</v>
      </c>
    </row>
    <row r="465" spans="1:21" ht="13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82">
        <f t="shared" si="113"/>
        <v>7296.08</v>
      </c>
    </row>
    <row r="466" spans="1:21" ht="13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0.5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21.5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86">
        <f t="shared" ref="U475:U476" si="116">U476</f>
        <v>5152.0720000000001</v>
      </c>
    </row>
    <row r="476" spans="1:21" ht="3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86">
        <f t="shared" si="116"/>
        <v>5152.0720000000001</v>
      </c>
    </row>
    <row r="477" spans="1:21" ht="13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82">
        <f t="shared" ref="U478:U479" si="119">U479</f>
        <v>1650.46</v>
      </c>
    </row>
    <row r="479" spans="1:21" ht="13.5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82">
        <f t="shared" si="119"/>
        <v>1650.46</v>
      </c>
    </row>
    <row r="480" spans="1:21" ht="20.5" hidden="1" thickBot="1" x14ac:dyDescent="0.3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3.5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1640625" defaultRowHeight="12.5" x14ac:dyDescent="0.25"/>
  <cols>
    <col min="1" max="1" width="2.81640625" style="1751" customWidth="1"/>
    <col min="2" max="2" width="6.1796875" style="1751" customWidth="1"/>
    <col min="3" max="3" width="70.26953125" style="1751" customWidth="1"/>
    <col min="4" max="4" width="6.453125" style="1751" customWidth="1"/>
    <col min="5" max="5" width="6.7265625" style="1751" customWidth="1"/>
    <col min="6" max="6" width="18.26953125" style="1751" customWidth="1"/>
    <col min="7" max="7" width="16.54296875" style="1751" customWidth="1"/>
    <col min="8" max="9" width="15.7265625" style="1751" customWidth="1"/>
    <col min="10" max="10" width="14.54296875" style="1751" customWidth="1"/>
    <col min="11" max="246" width="8.81640625" style="1751"/>
    <col min="247" max="247" width="40.1796875" style="1751" customWidth="1"/>
    <col min="248" max="248" width="37" style="1751" customWidth="1"/>
    <col min="249" max="249" width="17.453125" style="1751" customWidth="1"/>
    <col min="250" max="250" width="19.453125" style="1751" customWidth="1"/>
    <col min="251" max="251" width="0" style="1751" hidden="1" customWidth="1"/>
    <col min="252" max="252" width="21.7265625" style="1751" customWidth="1"/>
    <col min="253" max="253" width="71" style="1751" customWidth="1"/>
    <col min="254" max="255" width="0" style="1751" hidden="1" customWidth="1"/>
    <col min="256" max="256" width="13.7265625" style="1751" customWidth="1"/>
    <col min="257" max="502" width="8.81640625" style="1751"/>
    <col min="503" max="503" width="40.1796875" style="1751" customWidth="1"/>
    <col min="504" max="504" width="37" style="1751" customWidth="1"/>
    <col min="505" max="505" width="17.453125" style="1751" customWidth="1"/>
    <col min="506" max="506" width="19.453125" style="1751" customWidth="1"/>
    <col min="507" max="507" width="0" style="1751" hidden="1" customWidth="1"/>
    <col min="508" max="508" width="21.7265625" style="1751" customWidth="1"/>
    <col min="509" max="509" width="71" style="1751" customWidth="1"/>
    <col min="510" max="511" width="0" style="1751" hidden="1" customWidth="1"/>
    <col min="512" max="512" width="13.7265625" style="1751" customWidth="1"/>
    <col min="513" max="758" width="8.81640625" style="1751"/>
    <col min="759" max="759" width="40.1796875" style="1751" customWidth="1"/>
    <col min="760" max="760" width="37" style="1751" customWidth="1"/>
    <col min="761" max="761" width="17.453125" style="1751" customWidth="1"/>
    <col min="762" max="762" width="19.453125" style="1751" customWidth="1"/>
    <col min="763" max="763" width="0" style="1751" hidden="1" customWidth="1"/>
    <col min="764" max="764" width="21.7265625" style="1751" customWidth="1"/>
    <col min="765" max="765" width="71" style="1751" customWidth="1"/>
    <col min="766" max="767" width="0" style="1751" hidden="1" customWidth="1"/>
    <col min="768" max="768" width="13.7265625" style="1751" customWidth="1"/>
    <col min="769" max="1014" width="8.81640625" style="1751"/>
    <col min="1015" max="1015" width="40.1796875" style="1751" customWidth="1"/>
    <col min="1016" max="1016" width="37" style="1751" customWidth="1"/>
    <col min="1017" max="1017" width="17.453125" style="1751" customWidth="1"/>
    <col min="1018" max="1018" width="19.453125" style="1751" customWidth="1"/>
    <col min="1019" max="1019" width="0" style="1751" hidden="1" customWidth="1"/>
    <col min="1020" max="1020" width="21.7265625" style="1751" customWidth="1"/>
    <col min="1021" max="1021" width="71" style="1751" customWidth="1"/>
    <col min="1022" max="1023" width="0" style="1751" hidden="1" customWidth="1"/>
    <col min="1024" max="1024" width="13.7265625" style="1751" customWidth="1"/>
    <col min="1025" max="1270" width="8.81640625" style="1751"/>
    <col min="1271" max="1271" width="40.1796875" style="1751" customWidth="1"/>
    <col min="1272" max="1272" width="37" style="1751" customWidth="1"/>
    <col min="1273" max="1273" width="17.453125" style="1751" customWidth="1"/>
    <col min="1274" max="1274" width="19.453125" style="1751" customWidth="1"/>
    <col min="1275" max="1275" width="0" style="1751" hidden="1" customWidth="1"/>
    <col min="1276" max="1276" width="21.7265625" style="1751" customWidth="1"/>
    <col min="1277" max="1277" width="71" style="1751" customWidth="1"/>
    <col min="1278" max="1279" width="0" style="1751" hidden="1" customWidth="1"/>
    <col min="1280" max="1280" width="13.7265625" style="1751" customWidth="1"/>
    <col min="1281" max="1526" width="8.81640625" style="1751"/>
    <col min="1527" max="1527" width="40.1796875" style="1751" customWidth="1"/>
    <col min="1528" max="1528" width="37" style="1751" customWidth="1"/>
    <col min="1529" max="1529" width="17.453125" style="1751" customWidth="1"/>
    <col min="1530" max="1530" width="19.453125" style="1751" customWidth="1"/>
    <col min="1531" max="1531" width="0" style="1751" hidden="1" customWidth="1"/>
    <col min="1532" max="1532" width="21.7265625" style="1751" customWidth="1"/>
    <col min="1533" max="1533" width="71" style="1751" customWidth="1"/>
    <col min="1534" max="1535" width="0" style="1751" hidden="1" customWidth="1"/>
    <col min="1536" max="1536" width="13.7265625" style="1751" customWidth="1"/>
    <col min="1537" max="1782" width="8.81640625" style="1751"/>
    <col min="1783" max="1783" width="40.1796875" style="1751" customWidth="1"/>
    <col min="1784" max="1784" width="37" style="1751" customWidth="1"/>
    <col min="1785" max="1785" width="17.453125" style="1751" customWidth="1"/>
    <col min="1786" max="1786" width="19.453125" style="1751" customWidth="1"/>
    <col min="1787" max="1787" width="0" style="1751" hidden="1" customWidth="1"/>
    <col min="1788" max="1788" width="21.7265625" style="1751" customWidth="1"/>
    <col min="1789" max="1789" width="71" style="1751" customWidth="1"/>
    <col min="1790" max="1791" width="0" style="1751" hidden="1" customWidth="1"/>
    <col min="1792" max="1792" width="13.7265625" style="1751" customWidth="1"/>
    <col min="1793" max="2038" width="8.81640625" style="1751"/>
    <col min="2039" max="2039" width="40.1796875" style="1751" customWidth="1"/>
    <col min="2040" max="2040" width="37" style="1751" customWidth="1"/>
    <col min="2041" max="2041" width="17.453125" style="1751" customWidth="1"/>
    <col min="2042" max="2042" width="19.453125" style="1751" customWidth="1"/>
    <col min="2043" max="2043" width="0" style="1751" hidden="1" customWidth="1"/>
    <col min="2044" max="2044" width="21.7265625" style="1751" customWidth="1"/>
    <col min="2045" max="2045" width="71" style="1751" customWidth="1"/>
    <col min="2046" max="2047" width="0" style="1751" hidden="1" customWidth="1"/>
    <col min="2048" max="2048" width="13.7265625" style="1751" customWidth="1"/>
    <col min="2049" max="2294" width="8.81640625" style="1751"/>
    <col min="2295" max="2295" width="40.1796875" style="1751" customWidth="1"/>
    <col min="2296" max="2296" width="37" style="1751" customWidth="1"/>
    <col min="2297" max="2297" width="17.453125" style="1751" customWidth="1"/>
    <col min="2298" max="2298" width="19.453125" style="1751" customWidth="1"/>
    <col min="2299" max="2299" width="0" style="1751" hidden="1" customWidth="1"/>
    <col min="2300" max="2300" width="21.7265625" style="1751" customWidth="1"/>
    <col min="2301" max="2301" width="71" style="1751" customWidth="1"/>
    <col min="2302" max="2303" width="0" style="1751" hidden="1" customWidth="1"/>
    <col min="2304" max="2304" width="13.7265625" style="1751" customWidth="1"/>
    <col min="2305" max="2550" width="8.81640625" style="1751"/>
    <col min="2551" max="2551" width="40.1796875" style="1751" customWidth="1"/>
    <col min="2552" max="2552" width="37" style="1751" customWidth="1"/>
    <col min="2553" max="2553" width="17.453125" style="1751" customWidth="1"/>
    <col min="2554" max="2554" width="19.453125" style="1751" customWidth="1"/>
    <col min="2555" max="2555" width="0" style="1751" hidden="1" customWidth="1"/>
    <col min="2556" max="2556" width="21.7265625" style="1751" customWidth="1"/>
    <col min="2557" max="2557" width="71" style="1751" customWidth="1"/>
    <col min="2558" max="2559" width="0" style="1751" hidden="1" customWidth="1"/>
    <col min="2560" max="2560" width="13.7265625" style="1751" customWidth="1"/>
    <col min="2561" max="2806" width="8.81640625" style="1751"/>
    <col min="2807" max="2807" width="40.1796875" style="1751" customWidth="1"/>
    <col min="2808" max="2808" width="37" style="1751" customWidth="1"/>
    <col min="2809" max="2809" width="17.453125" style="1751" customWidth="1"/>
    <col min="2810" max="2810" width="19.453125" style="1751" customWidth="1"/>
    <col min="2811" max="2811" width="0" style="1751" hidden="1" customWidth="1"/>
    <col min="2812" max="2812" width="21.7265625" style="1751" customWidth="1"/>
    <col min="2813" max="2813" width="71" style="1751" customWidth="1"/>
    <col min="2814" max="2815" width="0" style="1751" hidden="1" customWidth="1"/>
    <col min="2816" max="2816" width="13.7265625" style="1751" customWidth="1"/>
    <col min="2817" max="3062" width="8.81640625" style="1751"/>
    <col min="3063" max="3063" width="40.1796875" style="1751" customWidth="1"/>
    <col min="3064" max="3064" width="37" style="1751" customWidth="1"/>
    <col min="3065" max="3065" width="17.453125" style="1751" customWidth="1"/>
    <col min="3066" max="3066" width="19.453125" style="1751" customWidth="1"/>
    <col min="3067" max="3067" width="0" style="1751" hidden="1" customWidth="1"/>
    <col min="3068" max="3068" width="21.7265625" style="1751" customWidth="1"/>
    <col min="3069" max="3069" width="71" style="1751" customWidth="1"/>
    <col min="3070" max="3071" width="0" style="1751" hidden="1" customWidth="1"/>
    <col min="3072" max="3072" width="13.7265625" style="1751" customWidth="1"/>
    <col min="3073" max="3318" width="8.81640625" style="1751"/>
    <col min="3319" max="3319" width="40.1796875" style="1751" customWidth="1"/>
    <col min="3320" max="3320" width="37" style="1751" customWidth="1"/>
    <col min="3321" max="3321" width="17.453125" style="1751" customWidth="1"/>
    <col min="3322" max="3322" width="19.453125" style="1751" customWidth="1"/>
    <col min="3323" max="3323" width="0" style="1751" hidden="1" customWidth="1"/>
    <col min="3324" max="3324" width="21.7265625" style="1751" customWidth="1"/>
    <col min="3325" max="3325" width="71" style="1751" customWidth="1"/>
    <col min="3326" max="3327" width="0" style="1751" hidden="1" customWidth="1"/>
    <col min="3328" max="3328" width="13.7265625" style="1751" customWidth="1"/>
    <col min="3329" max="3574" width="8.81640625" style="1751"/>
    <col min="3575" max="3575" width="40.1796875" style="1751" customWidth="1"/>
    <col min="3576" max="3576" width="37" style="1751" customWidth="1"/>
    <col min="3577" max="3577" width="17.453125" style="1751" customWidth="1"/>
    <col min="3578" max="3578" width="19.453125" style="1751" customWidth="1"/>
    <col min="3579" max="3579" width="0" style="1751" hidden="1" customWidth="1"/>
    <col min="3580" max="3580" width="21.7265625" style="1751" customWidth="1"/>
    <col min="3581" max="3581" width="71" style="1751" customWidth="1"/>
    <col min="3582" max="3583" width="0" style="1751" hidden="1" customWidth="1"/>
    <col min="3584" max="3584" width="13.7265625" style="1751" customWidth="1"/>
    <col min="3585" max="3830" width="8.81640625" style="1751"/>
    <col min="3831" max="3831" width="40.1796875" style="1751" customWidth="1"/>
    <col min="3832" max="3832" width="37" style="1751" customWidth="1"/>
    <col min="3833" max="3833" width="17.453125" style="1751" customWidth="1"/>
    <col min="3834" max="3834" width="19.453125" style="1751" customWidth="1"/>
    <col min="3835" max="3835" width="0" style="1751" hidden="1" customWidth="1"/>
    <col min="3836" max="3836" width="21.7265625" style="1751" customWidth="1"/>
    <col min="3837" max="3837" width="71" style="1751" customWidth="1"/>
    <col min="3838" max="3839" width="0" style="1751" hidden="1" customWidth="1"/>
    <col min="3840" max="3840" width="13.7265625" style="1751" customWidth="1"/>
    <col min="3841" max="4086" width="8.81640625" style="1751"/>
    <col min="4087" max="4087" width="40.1796875" style="1751" customWidth="1"/>
    <col min="4088" max="4088" width="37" style="1751" customWidth="1"/>
    <col min="4089" max="4089" width="17.453125" style="1751" customWidth="1"/>
    <col min="4090" max="4090" width="19.453125" style="1751" customWidth="1"/>
    <col min="4091" max="4091" width="0" style="1751" hidden="1" customWidth="1"/>
    <col min="4092" max="4092" width="21.7265625" style="1751" customWidth="1"/>
    <col min="4093" max="4093" width="71" style="1751" customWidth="1"/>
    <col min="4094" max="4095" width="0" style="1751" hidden="1" customWidth="1"/>
    <col min="4096" max="4096" width="13.7265625" style="1751" customWidth="1"/>
    <col min="4097" max="4342" width="8.81640625" style="1751"/>
    <col min="4343" max="4343" width="40.1796875" style="1751" customWidth="1"/>
    <col min="4344" max="4344" width="37" style="1751" customWidth="1"/>
    <col min="4345" max="4345" width="17.453125" style="1751" customWidth="1"/>
    <col min="4346" max="4346" width="19.453125" style="1751" customWidth="1"/>
    <col min="4347" max="4347" width="0" style="1751" hidden="1" customWidth="1"/>
    <col min="4348" max="4348" width="21.7265625" style="1751" customWidth="1"/>
    <col min="4349" max="4349" width="71" style="1751" customWidth="1"/>
    <col min="4350" max="4351" width="0" style="1751" hidden="1" customWidth="1"/>
    <col min="4352" max="4352" width="13.7265625" style="1751" customWidth="1"/>
    <col min="4353" max="4598" width="8.81640625" style="1751"/>
    <col min="4599" max="4599" width="40.1796875" style="1751" customWidth="1"/>
    <col min="4600" max="4600" width="37" style="1751" customWidth="1"/>
    <col min="4601" max="4601" width="17.453125" style="1751" customWidth="1"/>
    <col min="4602" max="4602" width="19.453125" style="1751" customWidth="1"/>
    <col min="4603" max="4603" width="0" style="1751" hidden="1" customWidth="1"/>
    <col min="4604" max="4604" width="21.7265625" style="1751" customWidth="1"/>
    <col min="4605" max="4605" width="71" style="1751" customWidth="1"/>
    <col min="4606" max="4607" width="0" style="1751" hidden="1" customWidth="1"/>
    <col min="4608" max="4608" width="13.7265625" style="1751" customWidth="1"/>
    <col min="4609" max="4854" width="8.81640625" style="1751"/>
    <col min="4855" max="4855" width="40.1796875" style="1751" customWidth="1"/>
    <col min="4856" max="4856" width="37" style="1751" customWidth="1"/>
    <col min="4857" max="4857" width="17.453125" style="1751" customWidth="1"/>
    <col min="4858" max="4858" width="19.453125" style="1751" customWidth="1"/>
    <col min="4859" max="4859" width="0" style="1751" hidden="1" customWidth="1"/>
    <col min="4860" max="4860" width="21.7265625" style="1751" customWidth="1"/>
    <col min="4861" max="4861" width="71" style="1751" customWidth="1"/>
    <col min="4862" max="4863" width="0" style="1751" hidden="1" customWidth="1"/>
    <col min="4864" max="4864" width="13.7265625" style="1751" customWidth="1"/>
    <col min="4865" max="5110" width="8.81640625" style="1751"/>
    <col min="5111" max="5111" width="40.1796875" style="1751" customWidth="1"/>
    <col min="5112" max="5112" width="37" style="1751" customWidth="1"/>
    <col min="5113" max="5113" width="17.453125" style="1751" customWidth="1"/>
    <col min="5114" max="5114" width="19.453125" style="1751" customWidth="1"/>
    <col min="5115" max="5115" width="0" style="1751" hidden="1" customWidth="1"/>
    <col min="5116" max="5116" width="21.7265625" style="1751" customWidth="1"/>
    <col min="5117" max="5117" width="71" style="1751" customWidth="1"/>
    <col min="5118" max="5119" width="0" style="1751" hidden="1" customWidth="1"/>
    <col min="5120" max="5120" width="13.7265625" style="1751" customWidth="1"/>
    <col min="5121" max="5366" width="8.81640625" style="1751"/>
    <col min="5367" max="5367" width="40.1796875" style="1751" customWidth="1"/>
    <col min="5368" max="5368" width="37" style="1751" customWidth="1"/>
    <col min="5369" max="5369" width="17.453125" style="1751" customWidth="1"/>
    <col min="5370" max="5370" width="19.453125" style="1751" customWidth="1"/>
    <col min="5371" max="5371" width="0" style="1751" hidden="1" customWidth="1"/>
    <col min="5372" max="5372" width="21.7265625" style="1751" customWidth="1"/>
    <col min="5373" max="5373" width="71" style="1751" customWidth="1"/>
    <col min="5374" max="5375" width="0" style="1751" hidden="1" customWidth="1"/>
    <col min="5376" max="5376" width="13.7265625" style="1751" customWidth="1"/>
    <col min="5377" max="5622" width="8.81640625" style="1751"/>
    <col min="5623" max="5623" width="40.1796875" style="1751" customWidth="1"/>
    <col min="5624" max="5624" width="37" style="1751" customWidth="1"/>
    <col min="5625" max="5625" width="17.453125" style="1751" customWidth="1"/>
    <col min="5626" max="5626" width="19.453125" style="1751" customWidth="1"/>
    <col min="5627" max="5627" width="0" style="1751" hidden="1" customWidth="1"/>
    <col min="5628" max="5628" width="21.7265625" style="1751" customWidth="1"/>
    <col min="5629" max="5629" width="71" style="1751" customWidth="1"/>
    <col min="5630" max="5631" width="0" style="1751" hidden="1" customWidth="1"/>
    <col min="5632" max="5632" width="13.7265625" style="1751" customWidth="1"/>
    <col min="5633" max="5878" width="8.81640625" style="1751"/>
    <col min="5879" max="5879" width="40.1796875" style="1751" customWidth="1"/>
    <col min="5880" max="5880" width="37" style="1751" customWidth="1"/>
    <col min="5881" max="5881" width="17.453125" style="1751" customWidth="1"/>
    <col min="5882" max="5882" width="19.453125" style="1751" customWidth="1"/>
    <col min="5883" max="5883" width="0" style="1751" hidden="1" customWidth="1"/>
    <col min="5884" max="5884" width="21.7265625" style="1751" customWidth="1"/>
    <col min="5885" max="5885" width="71" style="1751" customWidth="1"/>
    <col min="5886" max="5887" width="0" style="1751" hidden="1" customWidth="1"/>
    <col min="5888" max="5888" width="13.7265625" style="1751" customWidth="1"/>
    <col min="5889" max="6134" width="8.81640625" style="1751"/>
    <col min="6135" max="6135" width="40.1796875" style="1751" customWidth="1"/>
    <col min="6136" max="6136" width="37" style="1751" customWidth="1"/>
    <col min="6137" max="6137" width="17.453125" style="1751" customWidth="1"/>
    <col min="6138" max="6138" width="19.453125" style="1751" customWidth="1"/>
    <col min="6139" max="6139" width="0" style="1751" hidden="1" customWidth="1"/>
    <col min="6140" max="6140" width="21.7265625" style="1751" customWidth="1"/>
    <col min="6141" max="6141" width="71" style="1751" customWidth="1"/>
    <col min="6142" max="6143" width="0" style="1751" hidden="1" customWidth="1"/>
    <col min="6144" max="6144" width="13.7265625" style="1751" customWidth="1"/>
    <col min="6145" max="6390" width="8.81640625" style="1751"/>
    <col min="6391" max="6391" width="40.1796875" style="1751" customWidth="1"/>
    <col min="6392" max="6392" width="37" style="1751" customWidth="1"/>
    <col min="6393" max="6393" width="17.453125" style="1751" customWidth="1"/>
    <col min="6394" max="6394" width="19.453125" style="1751" customWidth="1"/>
    <col min="6395" max="6395" width="0" style="1751" hidden="1" customWidth="1"/>
    <col min="6396" max="6396" width="21.7265625" style="1751" customWidth="1"/>
    <col min="6397" max="6397" width="71" style="1751" customWidth="1"/>
    <col min="6398" max="6399" width="0" style="1751" hidden="1" customWidth="1"/>
    <col min="6400" max="6400" width="13.7265625" style="1751" customWidth="1"/>
    <col min="6401" max="6646" width="8.81640625" style="1751"/>
    <col min="6647" max="6647" width="40.1796875" style="1751" customWidth="1"/>
    <col min="6648" max="6648" width="37" style="1751" customWidth="1"/>
    <col min="6649" max="6649" width="17.453125" style="1751" customWidth="1"/>
    <col min="6650" max="6650" width="19.453125" style="1751" customWidth="1"/>
    <col min="6651" max="6651" width="0" style="1751" hidden="1" customWidth="1"/>
    <col min="6652" max="6652" width="21.7265625" style="1751" customWidth="1"/>
    <col min="6653" max="6653" width="71" style="1751" customWidth="1"/>
    <col min="6654" max="6655" width="0" style="1751" hidden="1" customWidth="1"/>
    <col min="6656" max="6656" width="13.7265625" style="1751" customWidth="1"/>
    <col min="6657" max="6902" width="8.81640625" style="1751"/>
    <col min="6903" max="6903" width="40.1796875" style="1751" customWidth="1"/>
    <col min="6904" max="6904" width="37" style="1751" customWidth="1"/>
    <col min="6905" max="6905" width="17.453125" style="1751" customWidth="1"/>
    <col min="6906" max="6906" width="19.453125" style="1751" customWidth="1"/>
    <col min="6907" max="6907" width="0" style="1751" hidden="1" customWidth="1"/>
    <col min="6908" max="6908" width="21.7265625" style="1751" customWidth="1"/>
    <col min="6909" max="6909" width="71" style="1751" customWidth="1"/>
    <col min="6910" max="6911" width="0" style="1751" hidden="1" customWidth="1"/>
    <col min="6912" max="6912" width="13.7265625" style="1751" customWidth="1"/>
    <col min="6913" max="7158" width="8.81640625" style="1751"/>
    <col min="7159" max="7159" width="40.1796875" style="1751" customWidth="1"/>
    <col min="7160" max="7160" width="37" style="1751" customWidth="1"/>
    <col min="7161" max="7161" width="17.453125" style="1751" customWidth="1"/>
    <col min="7162" max="7162" width="19.453125" style="1751" customWidth="1"/>
    <col min="7163" max="7163" width="0" style="1751" hidden="1" customWidth="1"/>
    <col min="7164" max="7164" width="21.7265625" style="1751" customWidth="1"/>
    <col min="7165" max="7165" width="71" style="1751" customWidth="1"/>
    <col min="7166" max="7167" width="0" style="1751" hidden="1" customWidth="1"/>
    <col min="7168" max="7168" width="13.7265625" style="1751" customWidth="1"/>
    <col min="7169" max="7414" width="8.81640625" style="1751"/>
    <col min="7415" max="7415" width="40.1796875" style="1751" customWidth="1"/>
    <col min="7416" max="7416" width="37" style="1751" customWidth="1"/>
    <col min="7417" max="7417" width="17.453125" style="1751" customWidth="1"/>
    <col min="7418" max="7418" width="19.453125" style="1751" customWidth="1"/>
    <col min="7419" max="7419" width="0" style="1751" hidden="1" customWidth="1"/>
    <col min="7420" max="7420" width="21.7265625" style="1751" customWidth="1"/>
    <col min="7421" max="7421" width="71" style="1751" customWidth="1"/>
    <col min="7422" max="7423" width="0" style="1751" hidden="1" customWidth="1"/>
    <col min="7424" max="7424" width="13.7265625" style="1751" customWidth="1"/>
    <col min="7425" max="7670" width="8.81640625" style="1751"/>
    <col min="7671" max="7671" width="40.1796875" style="1751" customWidth="1"/>
    <col min="7672" max="7672" width="37" style="1751" customWidth="1"/>
    <col min="7673" max="7673" width="17.453125" style="1751" customWidth="1"/>
    <col min="7674" max="7674" width="19.453125" style="1751" customWidth="1"/>
    <col min="7675" max="7675" width="0" style="1751" hidden="1" customWidth="1"/>
    <col min="7676" max="7676" width="21.7265625" style="1751" customWidth="1"/>
    <col min="7677" max="7677" width="71" style="1751" customWidth="1"/>
    <col min="7678" max="7679" width="0" style="1751" hidden="1" customWidth="1"/>
    <col min="7680" max="7680" width="13.7265625" style="1751" customWidth="1"/>
    <col min="7681" max="7926" width="8.81640625" style="1751"/>
    <col min="7927" max="7927" width="40.1796875" style="1751" customWidth="1"/>
    <col min="7928" max="7928" width="37" style="1751" customWidth="1"/>
    <col min="7929" max="7929" width="17.453125" style="1751" customWidth="1"/>
    <col min="7930" max="7930" width="19.453125" style="1751" customWidth="1"/>
    <col min="7931" max="7931" width="0" style="1751" hidden="1" customWidth="1"/>
    <col min="7932" max="7932" width="21.7265625" style="1751" customWidth="1"/>
    <col min="7933" max="7933" width="71" style="1751" customWidth="1"/>
    <col min="7934" max="7935" width="0" style="1751" hidden="1" customWidth="1"/>
    <col min="7936" max="7936" width="13.7265625" style="1751" customWidth="1"/>
    <col min="7937" max="8182" width="8.81640625" style="1751"/>
    <col min="8183" max="8183" width="40.1796875" style="1751" customWidth="1"/>
    <col min="8184" max="8184" width="37" style="1751" customWidth="1"/>
    <col min="8185" max="8185" width="17.453125" style="1751" customWidth="1"/>
    <col min="8186" max="8186" width="19.453125" style="1751" customWidth="1"/>
    <col min="8187" max="8187" width="0" style="1751" hidden="1" customWidth="1"/>
    <col min="8188" max="8188" width="21.7265625" style="1751" customWidth="1"/>
    <col min="8189" max="8189" width="71" style="1751" customWidth="1"/>
    <col min="8190" max="8191" width="0" style="1751" hidden="1" customWidth="1"/>
    <col min="8192" max="8192" width="13.7265625" style="1751" customWidth="1"/>
    <col min="8193" max="8438" width="8.81640625" style="1751"/>
    <col min="8439" max="8439" width="40.1796875" style="1751" customWidth="1"/>
    <col min="8440" max="8440" width="37" style="1751" customWidth="1"/>
    <col min="8441" max="8441" width="17.453125" style="1751" customWidth="1"/>
    <col min="8442" max="8442" width="19.453125" style="1751" customWidth="1"/>
    <col min="8443" max="8443" width="0" style="1751" hidden="1" customWidth="1"/>
    <col min="8444" max="8444" width="21.7265625" style="1751" customWidth="1"/>
    <col min="8445" max="8445" width="71" style="1751" customWidth="1"/>
    <col min="8446" max="8447" width="0" style="1751" hidden="1" customWidth="1"/>
    <col min="8448" max="8448" width="13.7265625" style="1751" customWidth="1"/>
    <col min="8449" max="8694" width="8.81640625" style="1751"/>
    <col min="8695" max="8695" width="40.1796875" style="1751" customWidth="1"/>
    <col min="8696" max="8696" width="37" style="1751" customWidth="1"/>
    <col min="8697" max="8697" width="17.453125" style="1751" customWidth="1"/>
    <col min="8698" max="8698" width="19.453125" style="1751" customWidth="1"/>
    <col min="8699" max="8699" width="0" style="1751" hidden="1" customWidth="1"/>
    <col min="8700" max="8700" width="21.7265625" style="1751" customWidth="1"/>
    <col min="8701" max="8701" width="71" style="1751" customWidth="1"/>
    <col min="8702" max="8703" width="0" style="1751" hidden="1" customWidth="1"/>
    <col min="8704" max="8704" width="13.7265625" style="1751" customWidth="1"/>
    <col min="8705" max="8950" width="8.81640625" style="1751"/>
    <col min="8951" max="8951" width="40.1796875" style="1751" customWidth="1"/>
    <col min="8952" max="8952" width="37" style="1751" customWidth="1"/>
    <col min="8953" max="8953" width="17.453125" style="1751" customWidth="1"/>
    <col min="8954" max="8954" width="19.453125" style="1751" customWidth="1"/>
    <col min="8955" max="8955" width="0" style="1751" hidden="1" customWidth="1"/>
    <col min="8956" max="8956" width="21.7265625" style="1751" customWidth="1"/>
    <col min="8957" max="8957" width="71" style="1751" customWidth="1"/>
    <col min="8958" max="8959" width="0" style="1751" hidden="1" customWidth="1"/>
    <col min="8960" max="8960" width="13.7265625" style="1751" customWidth="1"/>
    <col min="8961" max="9206" width="8.81640625" style="1751"/>
    <col min="9207" max="9207" width="40.1796875" style="1751" customWidth="1"/>
    <col min="9208" max="9208" width="37" style="1751" customWidth="1"/>
    <col min="9209" max="9209" width="17.453125" style="1751" customWidth="1"/>
    <col min="9210" max="9210" width="19.453125" style="1751" customWidth="1"/>
    <col min="9211" max="9211" width="0" style="1751" hidden="1" customWidth="1"/>
    <col min="9212" max="9212" width="21.7265625" style="1751" customWidth="1"/>
    <col min="9213" max="9213" width="71" style="1751" customWidth="1"/>
    <col min="9214" max="9215" width="0" style="1751" hidden="1" customWidth="1"/>
    <col min="9216" max="9216" width="13.7265625" style="1751" customWidth="1"/>
    <col min="9217" max="9462" width="8.81640625" style="1751"/>
    <col min="9463" max="9463" width="40.1796875" style="1751" customWidth="1"/>
    <col min="9464" max="9464" width="37" style="1751" customWidth="1"/>
    <col min="9465" max="9465" width="17.453125" style="1751" customWidth="1"/>
    <col min="9466" max="9466" width="19.453125" style="1751" customWidth="1"/>
    <col min="9467" max="9467" width="0" style="1751" hidden="1" customWidth="1"/>
    <col min="9468" max="9468" width="21.7265625" style="1751" customWidth="1"/>
    <col min="9469" max="9469" width="71" style="1751" customWidth="1"/>
    <col min="9470" max="9471" width="0" style="1751" hidden="1" customWidth="1"/>
    <col min="9472" max="9472" width="13.7265625" style="1751" customWidth="1"/>
    <col min="9473" max="9718" width="8.81640625" style="1751"/>
    <col min="9719" max="9719" width="40.1796875" style="1751" customWidth="1"/>
    <col min="9720" max="9720" width="37" style="1751" customWidth="1"/>
    <col min="9721" max="9721" width="17.453125" style="1751" customWidth="1"/>
    <col min="9722" max="9722" width="19.453125" style="1751" customWidth="1"/>
    <col min="9723" max="9723" width="0" style="1751" hidden="1" customWidth="1"/>
    <col min="9724" max="9724" width="21.7265625" style="1751" customWidth="1"/>
    <col min="9725" max="9725" width="71" style="1751" customWidth="1"/>
    <col min="9726" max="9727" width="0" style="1751" hidden="1" customWidth="1"/>
    <col min="9728" max="9728" width="13.7265625" style="1751" customWidth="1"/>
    <col min="9729" max="9974" width="8.81640625" style="1751"/>
    <col min="9975" max="9975" width="40.1796875" style="1751" customWidth="1"/>
    <col min="9976" max="9976" width="37" style="1751" customWidth="1"/>
    <col min="9977" max="9977" width="17.453125" style="1751" customWidth="1"/>
    <col min="9978" max="9978" width="19.453125" style="1751" customWidth="1"/>
    <col min="9979" max="9979" width="0" style="1751" hidden="1" customWidth="1"/>
    <col min="9980" max="9980" width="21.7265625" style="1751" customWidth="1"/>
    <col min="9981" max="9981" width="71" style="1751" customWidth="1"/>
    <col min="9982" max="9983" width="0" style="1751" hidden="1" customWidth="1"/>
    <col min="9984" max="9984" width="13.7265625" style="1751" customWidth="1"/>
    <col min="9985" max="10230" width="8.81640625" style="1751"/>
    <col min="10231" max="10231" width="40.1796875" style="1751" customWidth="1"/>
    <col min="10232" max="10232" width="37" style="1751" customWidth="1"/>
    <col min="10233" max="10233" width="17.453125" style="1751" customWidth="1"/>
    <col min="10234" max="10234" width="19.453125" style="1751" customWidth="1"/>
    <col min="10235" max="10235" width="0" style="1751" hidden="1" customWidth="1"/>
    <col min="10236" max="10236" width="21.7265625" style="1751" customWidth="1"/>
    <col min="10237" max="10237" width="71" style="1751" customWidth="1"/>
    <col min="10238" max="10239" width="0" style="1751" hidden="1" customWidth="1"/>
    <col min="10240" max="10240" width="13.7265625" style="1751" customWidth="1"/>
    <col min="10241" max="10486" width="8.81640625" style="1751"/>
    <col min="10487" max="10487" width="40.1796875" style="1751" customWidth="1"/>
    <col min="10488" max="10488" width="37" style="1751" customWidth="1"/>
    <col min="10489" max="10489" width="17.453125" style="1751" customWidth="1"/>
    <col min="10490" max="10490" width="19.453125" style="1751" customWidth="1"/>
    <col min="10491" max="10491" width="0" style="1751" hidden="1" customWidth="1"/>
    <col min="10492" max="10492" width="21.7265625" style="1751" customWidth="1"/>
    <col min="10493" max="10493" width="71" style="1751" customWidth="1"/>
    <col min="10494" max="10495" width="0" style="1751" hidden="1" customWidth="1"/>
    <col min="10496" max="10496" width="13.7265625" style="1751" customWidth="1"/>
    <col min="10497" max="10742" width="8.81640625" style="1751"/>
    <col min="10743" max="10743" width="40.1796875" style="1751" customWidth="1"/>
    <col min="10744" max="10744" width="37" style="1751" customWidth="1"/>
    <col min="10745" max="10745" width="17.453125" style="1751" customWidth="1"/>
    <col min="10746" max="10746" width="19.453125" style="1751" customWidth="1"/>
    <col min="10747" max="10747" width="0" style="1751" hidden="1" customWidth="1"/>
    <col min="10748" max="10748" width="21.7265625" style="1751" customWidth="1"/>
    <col min="10749" max="10749" width="71" style="1751" customWidth="1"/>
    <col min="10750" max="10751" width="0" style="1751" hidden="1" customWidth="1"/>
    <col min="10752" max="10752" width="13.7265625" style="1751" customWidth="1"/>
    <col min="10753" max="10998" width="8.81640625" style="1751"/>
    <col min="10999" max="10999" width="40.1796875" style="1751" customWidth="1"/>
    <col min="11000" max="11000" width="37" style="1751" customWidth="1"/>
    <col min="11001" max="11001" width="17.453125" style="1751" customWidth="1"/>
    <col min="11002" max="11002" width="19.453125" style="1751" customWidth="1"/>
    <col min="11003" max="11003" width="0" style="1751" hidden="1" customWidth="1"/>
    <col min="11004" max="11004" width="21.7265625" style="1751" customWidth="1"/>
    <col min="11005" max="11005" width="71" style="1751" customWidth="1"/>
    <col min="11006" max="11007" width="0" style="1751" hidden="1" customWidth="1"/>
    <col min="11008" max="11008" width="13.7265625" style="1751" customWidth="1"/>
    <col min="11009" max="11254" width="8.81640625" style="1751"/>
    <col min="11255" max="11255" width="40.1796875" style="1751" customWidth="1"/>
    <col min="11256" max="11256" width="37" style="1751" customWidth="1"/>
    <col min="11257" max="11257" width="17.453125" style="1751" customWidth="1"/>
    <col min="11258" max="11258" width="19.453125" style="1751" customWidth="1"/>
    <col min="11259" max="11259" width="0" style="1751" hidden="1" customWidth="1"/>
    <col min="11260" max="11260" width="21.7265625" style="1751" customWidth="1"/>
    <col min="11261" max="11261" width="71" style="1751" customWidth="1"/>
    <col min="11262" max="11263" width="0" style="1751" hidden="1" customWidth="1"/>
    <col min="11264" max="11264" width="13.7265625" style="1751" customWidth="1"/>
    <col min="11265" max="11510" width="8.81640625" style="1751"/>
    <col min="11511" max="11511" width="40.1796875" style="1751" customWidth="1"/>
    <col min="11512" max="11512" width="37" style="1751" customWidth="1"/>
    <col min="11513" max="11513" width="17.453125" style="1751" customWidth="1"/>
    <col min="11514" max="11514" width="19.453125" style="1751" customWidth="1"/>
    <col min="11515" max="11515" width="0" style="1751" hidden="1" customWidth="1"/>
    <col min="11516" max="11516" width="21.7265625" style="1751" customWidth="1"/>
    <col min="11517" max="11517" width="71" style="1751" customWidth="1"/>
    <col min="11518" max="11519" width="0" style="1751" hidden="1" customWidth="1"/>
    <col min="11520" max="11520" width="13.7265625" style="1751" customWidth="1"/>
    <col min="11521" max="11766" width="8.81640625" style="1751"/>
    <col min="11767" max="11767" width="40.1796875" style="1751" customWidth="1"/>
    <col min="11768" max="11768" width="37" style="1751" customWidth="1"/>
    <col min="11769" max="11769" width="17.453125" style="1751" customWidth="1"/>
    <col min="11770" max="11770" width="19.453125" style="1751" customWidth="1"/>
    <col min="11771" max="11771" width="0" style="1751" hidden="1" customWidth="1"/>
    <col min="11772" max="11772" width="21.7265625" style="1751" customWidth="1"/>
    <col min="11773" max="11773" width="71" style="1751" customWidth="1"/>
    <col min="11774" max="11775" width="0" style="1751" hidden="1" customWidth="1"/>
    <col min="11776" max="11776" width="13.7265625" style="1751" customWidth="1"/>
    <col min="11777" max="12022" width="8.81640625" style="1751"/>
    <col min="12023" max="12023" width="40.1796875" style="1751" customWidth="1"/>
    <col min="12024" max="12024" width="37" style="1751" customWidth="1"/>
    <col min="12025" max="12025" width="17.453125" style="1751" customWidth="1"/>
    <col min="12026" max="12026" width="19.453125" style="1751" customWidth="1"/>
    <col min="12027" max="12027" width="0" style="1751" hidden="1" customWidth="1"/>
    <col min="12028" max="12028" width="21.7265625" style="1751" customWidth="1"/>
    <col min="12029" max="12029" width="71" style="1751" customWidth="1"/>
    <col min="12030" max="12031" width="0" style="1751" hidden="1" customWidth="1"/>
    <col min="12032" max="12032" width="13.7265625" style="1751" customWidth="1"/>
    <col min="12033" max="12278" width="8.81640625" style="1751"/>
    <col min="12279" max="12279" width="40.1796875" style="1751" customWidth="1"/>
    <col min="12280" max="12280" width="37" style="1751" customWidth="1"/>
    <col min="12281" max="12281" width="17.453125" style="1751" customWidth="1"/>
    <col min="12282" max="12282" width="19.453125" style="1751" customWidth="1"/>
    <col min="12283" max="12283" width="0" style="1751" hidden="1" customWidth="1"/>
    <col min="12284" max="12284" width="21.7265625" style="1751" customWidth="1"/>
    <col min="12285" max="12285" width="71" style="1751" customWidth="1"/>
    <col min="12286" max="12287" width="0" style="1751" hidden="1" customWidth="1"/>
    <col min="12288" max="12288" width="13.7265625" style="1751" customWidth="1"/>
    <col min="12289" max="12534" width="8.81640625" style="1751"/>
    <col min="12535" max="12535" width="40.1796875" style="1751" customWidth="1"/>
    <col min="12536" max="12536" width="37" style="1751" customWidth="1"/>
    <col min="12537" max="12537" width="17.453125" style="1751" customWidth="1"/>
    <col min="12538" max="12538" width="19.453125" style="1751" customWidth="1"/>
    <col min="12539" max="12539" width="0" style="1751" hidden="1" customWidth="1"/>
    <col min="12540" max="12540" width="21.7265625" style="1751" customWidth="1"/>
    <col min="12541" max="12541" width="71" style="1751" customWidth="1"/>
    <col min="12542" max="12543" width="0" style="1751" hidden="1" customWidth="1"/>
    <col min="12544" max="12544" width="13.7265625" style="1751" customWidth="1"/>
    <col min="12545" max="12790" width="8.81640625" style="1751"/>
    <col min="12791" max="12791" width="40.1796875" style="1751" customWidth="1"/>
    <col min="12792" max="12792" width="37" style="1751" customWidth="1"/>
    <col min="12793" max="12793" width="17.453125" style="1751" customWidth="1"/>
    <col min="12794" max="12794" width="19.453125" style="1751" customWidth="1"/>
    <col min="12795" max="12795" width="0" style="1751" hidden="1" customWidth="1"/>
    <col min="12796" max="12796" width="21.7265625" style="1751" customWidth="1"/>
    <col min="12797" max="12797" width="71" style="1751" customWidth="1"/>
    <col min="12798" max="12799" width="0" style="1751" hidden="1" customWidth="1"/>
    <col min="12800" max="12800" width="13.7265625" style="1751" customWidth="1"/>
    <col min="12801" max="13046" width="8.81640625" style="1751"/>
    <col min="13047" max="13047" width="40.1796875" style="1751" customWidth="1"/>
    <col min="13048" max="13048" width="37" style="1751" customWidth="1"/>
    <col min="13049" max="13049" width="17.453125" style="1751" customWidth="1"/>
    <col min="13050" max="13050" width="19.453125" style="1751" customWidth="1"/>
    <col min="13051" max="13051" width="0" style="1751" hidden="1" customWidth="1"/>
    <col min="13052" max="13052" width="21.7265625" style="1751" customWidth="1"/>
    <col min="13053" max="13053" width="71" style="1751" customWidth="1"/>
    <col min="13054" max="13055" width="0" style="1751" hidden="1" customWidth="1"/>
    <col min="13056" max="13056" width="13.7265625" style="1751" customWidth="1"/>
    <col min="13057" max="13302" width="8.81640625" style="1751"/>
    <col min="13303" max="13303" width="40.1796875" style="1751" customWidth="1"/>
    <col min="13304" max="13304" width="37" style="1751" customWidth="1"/>
    <col min="13305" max="13305" width="17.453125" style="1751" customWidth="1"/>
    <col min="13306" max="13306" width="19.453125" style="1751" customWidth="1"/>
    <col min="13307" max="13307" width="0" style="1751" hidden="1" customWidth="1"/>
    <col min="13308" max="13308" width="21.7265625" style="1751" customWidth="1"/>
    <col min="13309" max="13309" width="71" style="1751" customWidth="1"/>
    <col min="13310" max="13311" width="0" style="1751" hidden="1" customWidth="1"/>
    <col min="13312" max="13312" width="13.7265625" style="1751" customWidth="1"/>
    <col min="13313" max="13558" width="8.81640625" style="1751"/>
    <col min="13559" max="13559" width="40.1796875" style="1751" customWidth="1"/>
    <col min="13560" max="13560" width="37" style="1751" customWidth="1"/>
    <col min="13561" max="13561" width="17.453125" style="1751" customWidth="1"/>
    <col min="13562" max="13562" width="19.453125" style="1751" customWidth="1"/>
    <col min="13563" max="13563" width="0" style="1751" hidden="1" customWidth="1"/>
    <col min="13564" max="13564" width="21.7265625" style="1751" customWidth="1"/>
    <col min="13565" max="13565" width="71" style="1751" customWidth="1"/>
    <col min="13566" max="13567" width="0" style="1751" hidden="1" customWidth="1"/>
    <col min="13568" max="13568" width="13.7265625" style="1751" customWidth="1"/>
    <col min="13569" max="13814" width="8.81640625" style="1751"/>
    <col min="13815" max="13815" width="40.1796875" style="1751" customWidth="1"/>
    <col min="13816" max="13816" width="37" style="1751" customWidth="1"/>
    <col min="13817" max="13817" width="17.453125" style="1751" customWidth="1"/>
    <col min="13818" max="13818" width="19.453125" style="1751" customWidth="1"/>
    <col min="13819" max="13819" width="0" style="1751" hidden="1" customWidth="1"/>
    <col min="13820" max="13820" width="21.7265625" style="1751" customWidth="1"/>
    <col min="13821" max="13821" width="71" style="1751" customWidth="1"/>
    <col min="13822" max="13823" width="0" style="1751" hidden="1" customWidth="1"/>
    <col min="13824" max="13824" width="13.7265625" style="1751" customWidth="1"/>
    <col min="13825" max="14070" width="8.81640625" style="1751"/>
    <col min="14071" max="14071" width="40.1796875" style="1751" customWidth="1"/>
    <col min="14072" max="14072" width="37" style="1751" customWidth="1"/>
    <col min="14073" max="14073" width="17.453125" style="1751" customWidth="1"/>
    <col min="14074" max="14074" width="19.453125" style="1751" customWidth="1"/>
    <col min="14075" max="14075" width="0" style="1751" hidden="1" customWidth="1"/>
    <col min="14076" max="14076" width="21.7265625" style="1751" customWidth="1"/>
    <col min="14077" max="14077" width="71" style="1751" customWidth="1"/>
    <col min="14078" max="14079" width="0" style="1751" hidden="1" customWidth="1"/>
    <col min="14080" max="14080" width="13.7265625" style="1751" customWidth="1"/>
    <col min="14081" max="14326" width="8.81640625" style="1751"/>
    <col min="14327" max="14327" width="40.1796875" style="1751" customWidth="1"/>
    <col min="14328" max="14328" width="37" style="1751" customWidth="1"/>
    <col min="14329" max="14329" width="17.453125" style="1751" customWidth="1"/>
    <col min="14330" max="14330" width="19.453125" style="1751" customWidth="1"/>
    <col min="14331" max="14331" width="0" style="1751" hidden="1" customWidth="1"/>
    <col min="14332" max="14332" width="21.7265625" style="1751" customWidth="1"/>
    <col min="14333" max="14333" width="71" style="1751" customWidth="1"/>
    <col min="14334" max="14335" width="0" style="1751" hidden="1" customWidth="1"/>
    <col min="14336" max="14336" width="13.7265625" style="1751" customWidth="1"/>
    <col min="14337" max="14582" width="8.81640625" style="1751"/>
    <col min="14583" max="14583" width="40.1796875" style="1751" customWidth="1"/>
    <col min="14584" max="14584" width="37" style="1751" customWidth="1"/>
    <col min="14585" max="14585" width="17.453125" style="1751" customWidth="1"/>
    <col min="14586" max="14586" width="19.453125" style="1751" customWidth="1"/>
    <col min="14587" max="14587" width="0" style="1751" hidden="1" customWidth="1"/>
    <col min="14588" max="14588" width="21.7265625" style="1751" customWidth="1"/>
    <col min="14589" max="14589" width="71" style="1751" customWidth="1"/>
    <col min="14590" max="14591" width="0" style="1751" hidden="1" customWidth="1"/>
    <col min="14592" max="14592" width="13.7265625" style="1751" customWidth="1"/>
    <col min="14593" max="14838" width="8.81640625" style="1751"/>
    <col min="14839" max="14839" width="40.1796875" style="1751" customWidth="1"/>
    <col min="14840" max="14840" width="37" style="1751" customWidth="1"/>
    <col min="14841" max="14841" width="17.453125" style="1751" customWidth="1"/>
    <col min="14842" max="14842" width="19.453125" style="1751" customWidth="1"/>
    <col min="14843" max="14843" width="0" style="1751" hidden="1" customWidth="1"/>
    <col min="14844" max="14844" width="21.7265625" style="1751" customWidth="1"/>
    <col min="14845" max="14845" width="71" style="1751" customWidth="1"/>
    <col min="14846" max="14847" width="0" style="1751" hidden="1" customWidth="1"/>
    <col min="14848" max="14848" width="13.7265625" style="1751" customWidth="1"/>
    <col min="14849" max="15094" width="8.81640625" style="1751"/>
    <col min="15095" max="15095" width="40.1796875" style="1751" customWidth="1"/>
    <col min="15096" max="15096" width="37" style="1751" customWidth="1"/>
    <col min="15097" max="15097" width="17.453125" style="1751" customWidth="1"/>
    <col min="15098" max="15098" width="19.453125" style="1751" customWidth="1"/>
    <col min="15099" max="15099" width="0" style="1751" hidden="1" customWidth="1"/>
    <col min="15100" max="15100" width="21.7265625" style="1751" customWidth="1"/>
    <col min="15101" max="15101" width="71" style="1751" customWidth="1"/>
    <col min="15102" max="15103" width="0" style="1751" hidden="1" customWidth="1"/>
    <col min="15104" max="15104" width="13.7265625" style="1751" customWidth="1"/>
    <col min="15105" max="15350" width="8.81640625" style="1751"/>
    <col min="15351" max="15351" width="40.1796875" style="1751" customWidth="1"/>
    <col min="15352" max="15352" width="37" style="1751" customWidth="1"/>
    <col min="15353" max="15353" width="17.453125" style="1751" customWidth="1"/>
    <col min="15354" max="15354" width="19.453125" style="1751" customWidth="1"/>
    <col min="15355" max="15355" width="0" style="1751" hidden="1" customWidth="1"/>
    <col min="15356" max="15356" width="21.7265625" style="1751" customWidth="1"/>
    <col min="15357" max="15357" width="71" style="1751" customWidth="1"/>
    <col min="15358" max="15359" width="0" style="1751" hidden="1" customWidth="1"/>
    <col min="15360" max="15360" width="13.7265625" style="1751" customWidth="1"/>
    <col min="15361" max="15606" width="8.81640625" style="1751"/>
    <col min="15607" max="15607" width="40.1796875" style="1751" customWidth="1"/>
    <col min="15608" max="15608" width="37" style="1751" customWidth="1"/>
    <col min="15609" max="15609" width="17.453125" style="1751" customWidth="1"/>
    <col min="15610" max="15610" width="19.453125" style="1751" customWidth="1"/>
    <col min="15611" max="15611" width="0" style="1751" hidden="1" customWidth="1"/>
    <col min="15612" max="15612" width="21.7265625" style="1751" customWidth="1"/>
    <col min="15613" max="15613" width="71" style="1751" customWidth="1"/>
    <col min="15614" max="15615" width="0" style="1751" hidden="1" customWidth="1"/>
    <col min="15616" max="15616" width="13.7265625" style="1751" customWidth="1"/>
    <col min="15617" max="15862" width="8.81640625" style="1751"/>
    <col min="15863" max="15863" width="40.1796875" style="1751" customWidth="1"/>
    <col min="15864" max="15864" width="37" style="1751" customWidth="1"/>
    <col min="15865" max="15865" width="17.453125" style="1751" customWidth="1"/>
    <col min="15866" max="15866" width="19.453125" style="1751" customWidth="1"/>
    <col min="15867" max="15867" width="0" style="1751" hidden="1" customWidth="1"/>
    <col min="15868" max="15868" width="21.7265625" style="1751" customWidth="1"/>
    <col min="15869" max="15869" width="71" style="1751" customWidth="1"/>
    <col min="15870" max="15871" width="0" style="1751" hidden="1" customWidth="1"/>
    <col min="15872" max="15872" width="13.7265625" style="1751" customWidth="1"/>
    <col min="15873" max="16118" width="8.81640625" style="1751"/>
    <col min="16119" max="16119" width="40.1796875" style="1751" customWidth="1"/>
    <col min="16120" max="16120" width="37" style="1751" customWidth="1"/>
    <col min="16121" max="16121" width="17.453125" style="1751" customWidth="1"/>
    <col min="16122" max="16122" width="19.453125" style="1751" customWidth="1"/>
    <col min="16123" max="16123" width="0" style="1751" hidden="1" customWidth="1"/>
    <col min="16124" max="16124" width="21.7265625" style="1751" customWidth="1"/>
    <col min="16125" max="16125" width="71" style="1751" customWidth="1"/>
    <col min="16126" max="16127" width="0" style="1751" hidden="1" customWidth="1"/>
    <col min="16128" max="16128" width="13.7265625" style="1751" customWidth="1"/>
    <col min="16129" max="16384" width="8.81640625" style="1751"/>
  </cols>
  <sheetData>
    <row r="1" spans="1:25" x14ac:dyDescent="0.25">
      <c r="H1" s="3500" t="s">
        <v>946</v>
      </c>
      <c r="I1" s="3500"/>
      <c r="J1" s="3500"/>
    </row>
    <row r="2" spans="1:25" x14ac:dyDescent="0.25">
      <c r="H2" s="3500" t="s">
        <v>450</v>
      </c>
      <c r="I2" s="3500"/>
      <c r="J2" s="3500"/>
    </row>
    <row r="3" spans="1:25" x14ac:dyDescent="0.25">
      <c r="H3" s="3500" t="s">
        <v>449</v>
      </c>
      <c r="I3" s="3500"/>
      <c r="J3" s="3500"/>
    </row>
    <row r="4" spans="1:25" x14ac:dyDescent="0.25">
      <c r="H4" s="3500" t="s">
        <v>448</v>
      </c>
      <c r="I4" s="3500"/>
      <c r="J4" s="3500"/>
    </row>
    <row r="5" spans="1:25" x14ac:dyDescent="0.25">
      <c r="H5" s="3500" t="s">
        <v>1130</v>
      </c>
      <c r="I5" s="3500"/>
      <c r="J5" s="3500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5" x14ac:dyDescent="0.35">
      <c r="F9" s="1752"/>
      <c r="I9" s="1752"/>
      <c r="J9" s="1690" t="s">
        <v>449</v>
      </c>
    </row>
    <row r="10" spans="1:25" ht="15.5" x14ac:dyDescent="0.35">
      <c r="F10" s="1752"/>
      <c r="J10" s="1690" t="s">
        <v>448</v>
      </c>
    </row>
    <row r="11" spans="1:25" ht="12.65" customHeight="1" x14ac:dyDescent="0.25">
      <c r="F11" s="1753"/>
      <c r="H11" s="3027" t="s">
        <v>1103</v>
      </c>
      <c r="I11" s="3027"/>
      <c r="J11" s="3027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3498" t="s">
        <v>983</v>
      </c>
      <c r="C14" s="3498"/>
      <c r="D14" s="3498"/>
      <c r="E14" s="3498"/>
      <c r="F14" s="3498"/>
      <c r="G14" s="3498"/>
      <c r="H14" s="3498"/>
      <c r="I14" s="3498"/>
      <c r="J14" s="3498"/>
    </row>
    <row r="15" spans="1:25" ht="20.149999999999999" customHeight="1" x14ac:dyDescent="0.35">
      <c r="A15" s="3499" t="s">
        <v>869</v>
      </c>
      <c r="B15" s="3499"/>
      <c r="C15" s="3499"/>
      <c r="D15" s="3499"/>
      <c r="E15" s="3499"/>
      <c r="F15" s="3499"/>
      <c r="G15" s="3499"/>
      <c r="H15" s="3499"/>
      <c r="I15" s="3499"/>
      <c r="J15" s="3499"/>
      <c r="K15" s="1773"/>
    </row>
    <row r="16" spans="1:25" ht="15.75" customHeight="1" x14ac:dyDescent="0.35">
      <c r="A16" s="3024" t="s">
        <v>992</v>
      </c>
      <c r="B16" s="3024"/>
      <c r="C16" s="3024"/>
      <c r="D16" s="3024"/>
      <c r="E16" s="3024"/>
      <c r="F16" s="3024"/>
      <c r="G16" s="3024"/>
      <c r="H16" s="3024"/>
      <c r="I16" s="3024"/>
      <c r="J16" s="302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5" customHeight="1" x14ac:dyDescent="0.35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5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5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5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5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508" t="s">
        <v>978</v>
      </c>
      <c r="H1" s="3508"/>
      <c r="I1" s="3508"/>
      <c r="J1" s="3508"/>
    </row>
    <row r="2" spans="1:15" ht="15.5" x14ac:dyDescent="0.35">
      <c r="A2" s="554"/>
      <c r="B2" s="554"/>
      <c r="C2" s="554"/>
      <c r="D2" s="554"/>
      <c r="E2" s="554"/>
      <c r="F2" s="3508" t="s">
        <v>797</v>
      </c>
      <c r="G2" s="3508"/>
      <c r="H2" s="3508"/>
      <c r="I2" s="554"/>
      <c r="J2" s="554"/>
    </row>
    <row r="3" spans="1:15" ht="15.5" x14ac:dyDescent="0.35">
      <c r="A3" s="554"/>
      <c r="B3" s="3508" t="s">
        <v>449</v>
      </c>
      <c r="C3" s="3508"/>
      <c r="D3" s="3508"/>
      <c r="E3" s="3508"/>
      <c r="F3" s="3508"/>
      <c r="G3" s="3508"/>
      <c r="H3" s="3508"/>
      <c r="I3" s="3508"/>
      <c r="J3" s="3508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508" t="s">
        <v>798</v>
      </c>
      <c r="E4" s="3508"/>
      <c r="F4" s="3508"/>
      <c r="G4" s="3508"/>
      <c r="H4" s="3508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3027" t="s">
        <v>1103</v>
      </c>
      <c r="G5" s="3027"/>
      <c r="H5" s="3027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38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509"/>
      <c r="B12" s="3509"/>
      <c r="C12" s="3509"/>
      <c r="D12" s="3509"/>
      <c r="E12" s="3509"/>
      <c r="F12" s="3509"/>
    </row>
    <row r="13" spans="1:15" ht="69.75" customHeight="1" x14ac:dyDescent="0.3">
      <c r="A13" s="3507" t="s">
        <v>823</v>
      </c>
      <c r="B13" s="3507"/>
      <c r="C13" s="3507"/>
      <c r="D13" s="3507"/>
      <c r="E13" s="3507"/>
      <c r="F13" s="3507"/>
      <c r="G13" s="3507"/>
      <c r="H13" s="3507"/>
      <c r="I13" s="3507"/>
      <c r="J13" s="3507"/>
      <c r="L13" s="559" t="s">
        <v>106</v>
      </c>
    </row>
    <row r="14" spans="1:15" ht="15" customHeight="1" x14ac:dyDescent="0.3">
      <c r="A14" s="923"/>
      <c r="B14" s="3507" t="s">
        <v>998</v>
      </c>
      <c r="C14" s="3507"/>
      <c r="D14" s="3507"/>
      <c r="E14" s="3507"/>
      <c r="F14" s="3507"/>
      <c r="G14" s="3507"/>
      <c r="H14" s="3507"/>
      <c r="I14" s="3507"/>
      <c r="J14" s="3507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505" t="s">
        <v>322</v>
      </c>
      <c r="C16" s="3505"/>
      <c r="D16" s="3505"/>
      <c r="E16" s="3505"/>
      <c r="F16" s="3505"/>
      <c r="G16" s="3505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 x14ac:dyDescent="0.35">
      <c r="A22" s="576"/>
      <c r="B22" s="3502" t="s">
        <v>824</v>
      </c>
      <c r="C22" s="3502"/>
      <c r="D22" s="3502"/>
      <c r="E22" s="3502"/>
      <c r="F22" s="3502"/>
      <c r="G22" s="3502"/>
      <c r="H22" s="729">
        <v>54.32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3503" t="s">
        <v>826</v>
      </c>
      <c r="C24" s="3503"/>
      <c r="D24" s="3503"/>
      <c r="E24" s="3503"/>
      <c r="F24" s="3503"/>
      <c r="G24" s="3503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504" t="s">
        <v>825</v>
      </c>
      <c r="C27" s="3504"/>
      <c r="D27" s="3504"/>
      <c r="E27" s="3504"/>
      <c r="F27" s="3504"/>
      <c r="G27" s="3504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5">
      <c r="A34" s="576"/>
      <c r="B34" s="3506" t="s">
        <v>586</v>
      </c>
      <c r="C34" s="3506"/>
      <c r="D34" s="3506"/>
      <c r="E34" s="3506"/>
      <c r="F34" s="3506"/>
      <c r="G34" s="3506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3501" t="s">
        <v>828</v>
      </c>
      <c r="C36" s="3501"/>
      <c r="D36" s="3501"/>
      <c r="E36" s="3501"/>
      <c r="F36" s="3501"/>
      <c r="G36" s="3501"/>
      <c r="H36" s="924">
        <f>H22+H24+H27+H34</f>
        <v>795.02300000000002</v>
      </c>
    </row>
    <row r="186" ht="80.5" customHeight="1" x14ac:dyDescent="0.25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796875" defaultRowHeight="15.5" x14ac:dyDescent="0.35"/>
  <cols>
    <col min="1" max="1" width="9.1796875" style="587" customWidth="1"/>
    <col min="2" max="2" width="51.54296875" style="588" customWidth="1"/>
    <col min="3" max="3" width="20.1796875" style="588" customWidth="1"/>
    <col min="4" max="4" width="5" style="588" customWidth="1"/>
    <col min="5" max="256" width="9.1796875" style="588"/>
    <col min="257" max="257" width="9.1796875" style="588" customWidth="1"/>
    <col min="258" max="258" width="51.54296875" style="588" customWidth="1"/>
    <col min="259" max="259" width="20.1796875" style="588" customWidth="1"/>
    <col min="260" max="260" width="5" style="588" customWidth="1"/>
    <col min="261" max="512" width="9.1796875" style="588"/>
    <col min="513" max="513" width="9.1796875" style="588" customWidth="1"/>
    <col min="514" max="514" width="51.54296875" style="588" customWidth="1"/>
    <col min="515" max="515" width="20.1796875" style="588" customWidth="1"/>
    <col min="516" max="516" width="5" style="588" customWidth="1"/>
    <col min="517" max="768" width="9.1796875" style="588"/>
    <col min="769" max="769" width="9.1796875" style="588" customWidth="1"/>
    <col min="770" max="770" width="51.54296875" style="588" customWidth="1"/>
    <col min="771" max="771" width="20.1796875" style="588" customWidth="1"/>
    <col min="772" max="772" width="5" style="588" customWidth="1"/>
    <col min="773" max="1024" width="9.1796875" style="588"/>
    <col min="1025" max="1025" width="9.1796875" style="588" customWidth="1"/>
    <col min="1026" max="1026" width="51.54296875" style="588" customWidth="1"/>
    <col min="1027" max="1027" width="20.1796875" style="588" customWidth="1"/>
    <col min="1028" max="1028" width="5" style="588" customWidth="1"/>
    <col min="1029" max="1280" width="9.1796875" style="588"/>
    <col min="1281" max="1281" width="9.1796875" style="588" customWidth="1"/>
    <col min="1282" max="1282" width="51.54296875" style="588" customWidth="1"/>
    <col min="1283" max="1283" width="20.1796875" style="588" customWidth="1"/>
    <col min="1284" max="1284" width="5" style="588" customWidth="1"/>
    <col min="1285" max="1536" width="9.1796875" style="588"/>
    <col min="1537" max="1537" width="9.1796875" style="588" customWidth="1"/>
    <col min="1538" max="1538" width="51.54296875" style="588" customWidth="1"/>
    <col min="1539" max="1539" width="20.1796875" style="588" customWidth="1"/>
    <col min="1540" max="1540" width="5" style="588" customWidth="1"/>
    <col min="1541" max="1792" width="9.1796875" style="588"/>
    <col min="1793" max="1793" width="9.1796875" style="588" customWidth="1"/>
    <col min="1794" max="1794" width="51.54296875" style="588" customWidth="1"/>
    <col min="1795" max="1795" width="20.1796875" style="588" customWidth="1"/>
    <col min="1796" max="1796" width="5" style="588" customWidth="1"/>
    <col min="1797" max="2048" width="9.1796875" style="588"/>
    <col min="2049" max="2049" width="9.1796875" style="588" customWidth="1"/>
    <col min="2050" max="2050" width="51.54296875" style="588" customWidth="1"/>
    <col min="2051" max="2051" width="20.1796875" style="588" customWidth="1"/>
    <col min="2052" max="2052" width="5" style="588" customWidth="1"/>
    <col min="2053" max="2304" width="9.1796875" style="588"/>
    <col min="2305" max="2305" width="9.1796875" style="588" customWidth="1"/>
    <col min="2306" max="2306" width="51.54296875" style="588" customWidth="1"/>
    <col min="2307" max="2307" width="20.1796875" style="588" customWidth="1"/>
    <col min="2308" max="2308" width="5" style="588" customWidth="1"/>
    <col min="2309" max="2560" width="9.1796875" style="588"/>
    <col min="2561" max="2561" width="9.1796875" style="588" customWidth="1"/>
    <col min="2562" max="2562" width="51.54296875" style="588" customWidth="1"/>
    <col min="2563" max="2563" width="20.1796875" style="588" customWidth="1"/>
    <col min="2564" max="2564" width="5" style="588" customWidth="1"/>
    <col min="2565" max="2816" width="9.1796875" style="588"/>
    <col min="2817" max="2817" width="9.1796875" style="588" customWidth="1"/>
    <col min="2818" max="2818" width="51.54296875" style="588" customWidth="1"/>
    <col min="2819" max="2819" width="20.1796875" style="588" customWidth="1"/>
    <col min="2820" max="2820" width="5" style="588" customWidth="1"/>
    <col min="2821" max="3072" width="9.1796875" style="588"/>
    <col min="3073" max="3073" width="9.1796875" style="588" customWidth="1"/>
    <col min="3074" max="3074" width="51.54296875" style="588" customWidth="1"/>
    <col min="3075" max="3075" width="20.1796875" style="588" customWidth="1"/>
    <col min="3076" max="3076" width="5" style="588" customWidth="1"/>
    <col min="3077" max="3328" width="9.1796875" style="588"/>
    <col min="3329" max="3329" width="9.1796875" style="588" customWidth="1"/>
    <col min="3330" max="3330" width="51.54296875" style="588" customWidth="1"/>
    <col min="3331" max="3331" width="20.1796875" style="588" customWidth="1"/>
    <col min="3332" max="3332" width="5" style="588" customWidth="1"/>
    <col min="3333" max="3584" width="9.1796875" style="588"/>
    <col min="3585" max="3585" width="9.1796875" style="588" customWidth="1"/>
    <col min="3586" max="3586" width="51.54296875" style="588" customWidth="1"/>
    <col min="3587" max="3587" width="20.1796875" style="588" customWidth="1"/>
    <col min="3588" max="3588" width="5" style="588" customWidth="1"/>
    <col min="3589" max="3840" width="9.1796875" style="588"/>
    <col min="3841" max="3841" width="9.1796875" style="588" customWidth="1"/>
    <col min="3842" max="3842" width="51.54296875" style="588" customWidth="1"/>
    <col min="3843" max="3843" width="20.1796875" style="588" customWidth="1"/>
    <col min="3844" max="3844" width="5" style="588" customWidth="1"/>
    <col min="3845" max="4096" width="9.1796875" style="588"/>
    <col min="4097" max="4097" width="9.1796875" style="588" customWidth="1"/>
    <col min="4098" max="4098" width="51.54296875" style="588" customWidth="1"/>
    <col min="4099" max="4099" width="20.1796875" style="588" customWidth="1"/>
    <col min="4100" max="4100" width="5" style="588" customWidth="1"/>
    <col min="4101" max="4352" width="9.1796875" style="588"/>
    <col min="4353" max="4353" width="9.1796875" style="588" customWidth="1"/>
    <col min="4354" max="4354" width="51.54296875" style="588" customWidth="1"/>
    <col min="4355" max="4355" width="20.1796875" style="588" customWidth="1"/>
    <col min="4356" max="4356" width="5" style="588" customWidth="1"/>
    <col min="4357" max="4608" width="9.1796875" style="588"/>
    <col min="4609" max="4609" width="9.1796875" style="588" customWidth="1"/>
    <col min="4610" max="4610" width="51.54296875" style="588" customWidth="1"/>
    <col min="4611" max="4611" width="20.1796875" style="588" customWidth="1"/>
    <col min="4612" max="4612" width="5" style="588" customWidth="1"/>
    <col min="4613" max="4864" width="9.1796875" style="588"/>
    <col min="4865" max="4865" width="9.1796875" style="588" customWidth="1"/>
    <col min="4866" max="4866" width="51.54296875" style="588" customWidth="1"/>
    <col min="4867" max="4867" width="20.1796875" style="588" customWidth="1"/>
    <col min="4868" max="4868" width="5" style="588" customWidth="1"/>
    <col min="4869" max="5120" width="9.1796875" style="588"/>
    <col min="5121" max="5121" width="9.1796875" style="588" customWidth="1"/>
    <col min="5122" max="5122" width="51.54296875" style="588" customWidth="1"/>
    <col min="5123" max="5123" width="20.1796875" style="588" customWidth="1"/>
    <col min="5124" max="5124" width="5" style="588" customWidth="1"/>
    <col min="5125" max="5376" width="9.1796875" style="588"/>
    <col min="5377" max="5377" width="9.1796875" style="588" customWidth="1"/>
    <col min="5378" max="5378" width="51.54296875" style="588" customWidth="1"/>
    <col min="5379" max="5379" width="20.1796875" style="588" customWidth="1"/>
    <col min="5380" max="5380" width="5" style="588" customWidth="1"/>
    <col min="5381" max="5632" width="9.1796875" style="588"/>
    <col min="5633" max="5633" width="9.1796875" style="588" customWidth="1"/>
    <col min="5634" max="5634" width="51.54296875" style="588" customWidth="1"/>
    <col min="5635" max="5635" width="20.1796875" style="588" customWidth="1"/>
    <col min="5636" max="5636" width="5" style="588" customWidth="1"/>
    <col min="5637" max="5888" width="9.1796875" style="588"/>
    <col min="5889" max="5889" width="9.1796875" style="588" customWidth="1"/>
    <col min="5890" max="5890" width="51.54296875" style="588" customWidth="1"/>
    <col min="5891" max="5891" width="20.1796875" style="588" customWidth="1"/>
    <col min="5892" max="5892" width="5" style="588" customWidth="1"/>
    <col min="5893" max="6144" width="9.1796875" style="588"/>
    <col min="6145" max="6145" width="9.1796875" style="588" customWidth="1"/>
    <col min="6146" max="6146" width="51.54296875" style="588" customWidth="1"/>
    <col min="6147" max="6147" width="20.1796875" style="588" customWidth="1"/>
    <col min="6148" max="6148" width="5" style="588" customWidth="1"/>
    <col min="6149" max="6400" width="9.1796875" style="588"/>
    <col min="6401" max="6401" width="9.1796875" style="588" customWidth="1"/>
    <col min="6402" max="6402" width="51.54296875" style="588" customWidth="1"/>
    <col min="6403" max="6403" width="20.1796875" style="588" customWidth="1"/>
    <col min="6404" max="6404" width="5" style="588" customWidth="1"/>
    <col min="6405" max="6656" width="9.1796875" style="588"/>
    <col min="6657" max="6657" width="9.1796875" style="588" customWidth="1"/>
    <col min="6658" max="6658" width="51.54296875" style="588" customWidth="1"/>
    <col min="6659" max="6659" width="20.1796875" style="588" customWidth="1"/>
    <col min="6660" max="6660" width="5" style="588" customWidth="1"/>
    <col min="6661" max="6912" width="9.1796875" style="588"/>
    <col min="6913" max="6913" width="9.1796875" style="588" customWidth="1"/>
    <col min="6914" max="6914" width="51.54296875" style="588" customWidth="1"/>
    <col min="6915" max="6915" width="20.1796875" style="588" customWidth="1"/>
    <col min="6916" max="6916" width="5" style="588" customWidth="1"/>
    <col min="6917" max="7168" width="9.1796875" style="588"/>
    <col min="7169" max="7169" width="9.1796875" style="588" customWidth="1"/>
    <col min="7170" max="7170" width="51.54296875" style="588" customWidth="1"/>
    <col min="7171" max="7171" width="20.1796875" style="588" customWidth="1"/>
    <col min="7172" max="7172" width="5" style="588" customWidth="1"/>
    <col min="7173" max="7424" width="9.1796875" style="588"/>
    <col min="7425" max="7425" width="9.1796875" style="588" customWidth="1"/>
    <col min="7426" max="7426" width="51.54296875" style="588" customWidth="1"/>
    <col min="7427" max="7427" width="20.1796875" style="588" customWidth="1"/>
    <col min="7428" max="7428" width="5" style="588" customWidth="1"/>
    <col min="7429" max="7680" width="9.1796875" style="588"/>
    <col min="7681" max="7681" width="9.1796875" style="588" customWidth="1"/>
    <col min="7682" max="7682" width="51.54296875" style="588" customWidth="1"/>
    <col min="7683" max="7683" width="20.1796875" style="588" customWidth="1"/>
    <col min="7684" max="7684" width="5" style="588" customWidth="1"/>
    <col min="7685" max="7936" width="9.1796875" style="588"/>
    <col min="7937" max="7937" width="9.1796875" style="588" customWidth="1"/>
    <col min="7938" max="7938" width="51.54296875" style="588" customWidth="1"/>
    <col min="7939" max="7939" width="20.1796875" style="588" customWidth="1"/>
    <col min="7940" max="7940" width="5" style="588" customWidth="1"/>
    <col min="7941" max="8192" width="9.1796875" style="588"/>
    <col min="8193" max="8193" width="9.1796875" style="588" customWidth="1"/>
    <col min="8194" max="8194" width="51.54296875" style="588" customWidth="1"/>
    <col min="8195" max="8195" width="20.1796875" style="588" customWidth="1"/>
    <col min="8196" max="8196" width="5" style="588" customWidth="1"/>
    <col min="8197" max="8448" width="9.1796875" style="588"/>
    <col min="8449" max="8449" width="9.1796875" style="588" customWidth="1"/>
    <col min="8450" max="8450" width="51.54296875" style="588" customWidth="1"/>
    <col min="8451" max="8451" width="20.1796875" style="588" customWidth="1"/>
    <col min="8452" max="8452" width="5" style="588" customWidth="1"/>
    <col min="8453" max="8704" width="9.1796875" style="588"/>
    <col min="8705" max="8705" width="9.1796875" style="588" customWidth="1"/>
    <col min="8706" max="8706" width="51.54296875" style="588" customWidth="1"/>
    <col min="8707" max="8707" width="20.1796875" style="588" customWidth="1"/>
    <col min="8708" max="8708" width="5" style="588" customWidth="1"/>
    <col min="8709" max="8960" width="9.1796875" style="588"/>
    <col min="8961" max="8961" width="9.1796875" style="588" customWidth="1"/>
    <col min="8962" max="8962" width="51.54296875" style="588" customWidth="1"/>
    <col min="8963" max="8963" width="20.1796875" style="588" customWidth="1"/>
    <col min="8964" max="8964" width="5" style="588" customWidth="1"/>
    <col min="8965" max="9216" width="9.1796875" style="588"/>
    <col min="9217" max="9217" width="9.1796875" style="588" customWidth="1"/>
    <col min="9218" max="9218" width="51.54296875" style="588" customWidth="1"/>
    <col min="9219" max="9219" width="20.1796875" style="588" customWidth="1"/>
    <col min="9220" max="9220" width="5" style="588" customWidth="1"/>
    <col min="9221" max="9472" width="9.1796875" style="588"/>
    <col min="9473" max="9473" width="9.1796875" style="588" customWidth="1"/>
    <col min="9474" max="9474" width="51.54296875" style="588" customWidth="1"/>
    <col min="9475" max="9475" width="20.1796875" style="588" customWidth="1"/>
    <col min="9476" max="9476" width="5" style="588" customWidth="1"/>
    <col min="9477" max="9728" width="9.1796875" style="588"/>
    <col min="9729" max="9729" width="9.1796875" style="588" customWidth="1"/>
    <col min="9730" max="9730" width="51.54296875" style="588" customWidth="1"/>
    <col min="9731" max="9731" width="20.1796875" style="588" customWidth="1"/>
    <col min="9732" max="9732" width="5" style="588" customWidth="1"/>
    <col min="9733" max="9984" width="9.1796875" style="588"/>
    <col min="9985" max="9985" width="9.1796875" style="588" customWidth="1"/>
    <col min="9986" max="9986" width="51.54296875" style="588" customWidth="1"/>
    <col min="9987" max="9987" width="20.1796875" style="588" customWidth="1"/>
    <col min="9988" max="9988" width="5" style="588" customWidth="1"/>
    <col min="9989" max="10240" width="9.1796875" style="588"/>
    <col min="10241" max="10241" width="9.1796875" style="588" customWidth="1"/>
    <col min="10242" max="10242" width="51.54296875" style="588" customWidth="1"/>
    <col min="10243" max="10243" width="20.1796875" style="588" customWidth="1"/>
    <col min="10244" max="10244" width="5" style="588" customWidth="1"/>
    <col min="10245" max="10496" width="9.1796875" style="588"/>
    <col min="10497" max="10497" width="9.1796875" style="588" customWidth="1"/>
    <col min="10498" max="10498" width="51.54296875" style="588" customWidth="1"/>
    <col min="10499" max="10499" width="20.1796875" style="588" customWidth="1"/>
    <col min="10500" max="10500" width="5" style="588" customWidth="1"/>
    <col min="10501" max="10752" width="9.1796875" style="588"/>
    <col min="10753" max="10753" width="9.1796875" style="588" customWidth="1"/>
    <col min="10754" max="10754" width="51.54296875" style="588" customWidth="1"/>
    <col min="10755" max="10755" width="20.1796875" style="588" customWidth="1"/>
    <col min="10756" max="10756" width="5" style="588" customWidth="1"/>
    <col min="10757" max="11008" width="9.1796875" style="588"/>
    <col min="11009" max="11009" width="9.1796875" style="588" customWidth="1"/>
    <col min="11010" max="11010" width="51.54296875" style="588" customWidth="1"/>
    <col min="11011" max="11011" width="20.1796875" style="588" customWidth="1"/>
    <col min="11012" max="11012" width="5" style="588" customWidth="1"/>
    <col min="11013" max="11264" width="9.1796875" style="588"/>
    <col min="11265" max="11265" width="9.1796875" style="588" customWidth="1"/>
    <col min="11266" max="11266" width="51.54296875" style="588" customWidth="1"/>
    <col min="11267" max="11267" width="20.1796875" style="588" customWidth="1"/>
    <col min="11268" max="11268" width="5" style="588" customWidth="1"/>
    <col min="11269" max="11520" width="9.1796875" style="588"/>
    <col min="11521" max="11521" width="9.1796875" style="588" customWidth="1"/>
    <col min="11522" max="11522" width="51.54296875" style="588" customWidth="1"/>
    <col min="11523" max="11523" width="20.1796875" style="588" customWidth="1"/>
    <col min="11524" max="11524" width="5" style="588" customWidth="1"/>
    <col min="11525" max="11776" width="9.1796875" style="588"/>
    <col min="11777" max="11777" width="9.1796875" style="588" customWidth="1"/>
    <col min="11778" max="11778" width="51.54296875" style="588" customWidth="1"/>
    <col min="11779" max="11779" width="20.1796875" style="588" customWidth="1"/>
    <col min="11780" max="11780" width="5" style="588" customWidth="1"/>
    <col min="11781" max="12032" width="9.1796875" style="588"/>
    <col min="12033" max="12033" width="9.1796875" style="588" customWidth="1"/>
    <col min="12034" max="12034" width="51.54296875" style="588" customWidth="1"/>
    <col min="12035" max="12035" width="20.1796875" style="588" customWidth="1"/>
    <col min="12036" max="12036" width="5" style="588" customWidth="1"/>
    <col min="12037" max="12288" width="9.1796875" style="588"/>
    <col min="12289" max="12289" width="9.1796875" style="588" customWidth="1"/>
    <col min="12290" max="12290" width="51.54296875" style="588" customWidth="1"/>
    <col min="12291" max="12291" width="20.1796875" style="588" customWidth="1"/>
    <col min="12292" max="12292" width="5" style="588" customWidth="1"/>
    <col min="12293" max="12544" width="9.1796875" style="588"/>
    <col min="12545" max="12545" width="9.1796875" style="588" customWidth="1"/>
    <col min="12546" max="12546" width="51.54296875" style="588" customWidth="1"/>
    <col min="12547" max="12547" width="20.1796875" style="588" customWidth="1"/>
    <col min="12548" max="12548" width="5" style="588" customWidth="1"/>
    <col min="12549" max="12800" width="9.1796875" style="588"/>
    <col min="12801" max="12801" width="9.1796875" style="588" customWidth="1"/>
    <col min="12802" max="12802" width="51.54296875" style="588" customWidth="1"/>
    <col min="12803" max="12803" width="20.1796875" style="588" customWidth="1"/>
    <col min="12804" max="12804" width="5" style="588" customWidth="1"/>
    <col min="12805" max="13056" width="9.1796875" style="588"/>
    <col min="13057" max="13057" width="9.1796875" style="588" customWidth="1"/>
    <col min="13058" max="13058" width="51.54296875" style="588" customWidth="1"/>
    <col min="13059" max="13059" width="20.1796875" style="588" customWidth="1"/>
    <col min="13060" max="13060" width="5" style="588" customWidth="1"/>
    <col min="13061" max="13312" width="9.1796875" style="588"/>
    <col min="13313" max="13313" width="9.1796875" style="588" customWidth="1"/>
    <col min="13314" max="13314" width="51.54296875" style="588" customWidth="1"/>
    <col min="13315" max="13315" width="20.1796875" style="588" customWidth="1"/>
    <col min="13316" max="13316" width="5" style="588" customWidth="1"/>
    <col min="13317" max="13568" width="9.1796875" style="588"/>
    <col min="13569" max="13569" width="9.1796875" style="588" customWidth="1"/>
    <col min="13570" max="13570" width="51.54296875" style="588" customWidth="1"/>
    <col min="13571" max="13571" width="20.1796875" style="588" customWidth="1"/>
    <col min="13572" max="13572" width="5" style="588" customWidth="1"/>
    <col min="13573" max="13824" width="9.1796875" style="588"/>
    <col min="13825" max="13825" width="9.1796875" style="588" customWidth="1"/>
    <col min="13826" max="13826" width="51.54296875" style="588" customWidth="1"/>
    <col min="13827" max="13827" width="20.1796875" style="588" customWidth="1"/>
    <col min="13828" max="13828" width="5" style="588" customWidth="1"/>
    <col min="13829" max="14080" width="9.1796875" style="588"/>
    <col min="14081" max="14081" width="9.1796875" style="588" customWidth="1"/>
    <col min="14082" max="14082" width="51.54296875" style="588" customWidth="1"/>
    <col min="14083" max="14083" width="20.1796875" style="588" customWidth="1"/>
    <col min="14084" max="14084" width="5" style="588" customWidth="1"/>
    <col min="14085" max="14336" width="9.1796875" style="588"/>
    <col min="14337" max="14337" width="9.1796875" style="588" customWidth="1"/>
    <col min="14338" max="14338" width="51.54296875" style="588" customWidth="1"/>
    <col min="14339" max="14339" width="20.1796875" style="588" customWidth="1"/>
    <col min="14340" max="14340" width="5" style="588" customWidth="1"/>
    <col min="14341" max="14592" width="9.1796875" style="588"/>
    <col min="14593" max="14593" width="9.1796875" style="588" customWidth="1"/>
    <col min="14594" max="14594" width="51.54296875" style="588" customWidth="1"/>
    <col min="14595" max="14595" width="20.1796875" style="588" customWidth="1"/>
    <col min="14596" max="14596" width="5" style="588" customWidth="1"/>
    <col min="14597" max="14848" width="9.1796875" style="588"/>
    <col min="14849" max="14849" width="9.1796875" style="588" customWidth="1"/>
    <col min="14850" max="14850" width="51.54296875" style="588" customWidth="1"/>
    <col min="14851" max="14851" width="20.1796875" style="588" customWidth="1"/>
    <col min="14852" max="14852" width="5" style="588" customWidth="1"/>
    <col min="14853" max="15104" width="9.1796875" style="588"/>
    <col min="15105" max="15105" width="9.1796875" style="588" customWidth="1"/>
    <col min="15106" max="15106" width="51.54296875" style="588" customWidth="1"/>
    <col min="15107" max="15107" width="20.1796875" style="588" customWidth="1"/>
    <col min="15108" max="15108" width="5" style="588" customWidth="1"/>
    <col min="15109" max="15360" width="9.1796875" style="588"/>
    <col min="15361" max="15361" width="9.1796875" style="588" customWidth="1"/>
    <col min="15362" max="15362" width="51.54296875" style="588" customWidth="1"/>
    <col min="15363" max="15363" width="20.1796875" style="588" customWidth="1"/>
    <col min="15364" max="15364" width="5" style="588" customWidth="1"/>
    <col min="15365" max="15616" width="9.1796875" style="588"/>
    <col min="15617" max="15617" width="9.1796875" style="588" customWidth="1"/>
    <col min="15618" max="15618" width="51.54296875" style="588" customWidth="1"/>
    <col min="15619" max="15619" width="20.1796875" style="588" customWidth="1"/>
    <col min="15620" max="15620" width="5" style="588" customWidth="1"/>
    <col min="15621" max="15872" width="9.1796875" style="588"/>
    <col min="15873" max="15873" width="9.1796875" style="588" customWidth="1"/>
    <col min="15874" max="15874" width="51.54296875" style="588" customWidth="1"/>
    <col min="15875" max="15875" width="20.1796875" style="588" customWidth="1"/>
    <col min="15876" max="15876" width="5" style="588" customWidth="1"/>
    <col min="15877" max="16128" width="9.1796875" style="588"/>
    <col min="16129" max="16129" width="9.1796875" style="588" customWidth="1"/>
    <col min="16130" max="16130" width="51.54296875" style="588" customWidth="1"/>
    <col min="16131" max="16131" width="20.1796875" style="588" customWidth="1"/>
    <col min="16132" max="16132" width="5" style="588" customWidth="1"/>
    <col min="16133" max="16384" width="9.1796875" style="588"/>
  </cols>
  <sheetData>
    <row r="1" spans="1:4" x14ac:dyDescent="0.35">
      <c r="B1" s="3512" t="s">
        <v>821</v>
      </c>
      <c r="C1" s="3512"/>
      <c r="D1" s="3512"/>
    </row>
    <row r="2" spans="1:4" x14ac:dyDescent="0.35">
      <c r="B2" s="3512" t="s">
        <v>801</v>
      </c>
      <c r="C2" s="3512"/>
      <c r="D2" s="3512"/>
    </row>
    <row r="3" spans="1:4" x14ac:dyDescent="0.35">
      <c r="B3" s="3512" t="s">
        <v>449</v>
      </c>
      <c r="C3" s="3512"/>
      <c r="D3" s="3512"/>
    </row>
    <row r="4" spans="1:4" x14ac:dyDescent="0.35">
      <c r="B4" s="3512" t="s">
        <v>802</v>
      </c>
      <c r="C4" s="3512"/>
      <c r="D4" s="3512"/>
    </row>
    <row r="5" spans="1:4" x14ac:dyDescent="0.35">
      <c r="B5" s="3513" t="s">
        <v>846</v>
      </c>
      <c r="C5" s="3513"/>
      <c r="D5" s="3513"/>
    </row>
    <row r="6" spans="1:4" x14ac:dyDescent="0.35">
      <c r="B6" s="589"/>
      <c r="C6" s="589"/>
      <c r="D6" s="589"/>
    </row>
    <row r="7" spans="1:4" x14ac:dyDescent="0.35">
      <c r="B7" s="589"/>
      <c r="C7" s="589"/>
      <c r="D7" s="546" t="s">
        <v>446</v>
      </c>
    </row>
    <row r="8" spans="1:4" x14ac:dyDescent="0.35">
      <c r="B8" s="589"/>
      <c r="C8" s="589"/>
      <c r="D8" s="558"/>
    </row>
    <row r="9" spans="1:4" x14ac:dyDescent="0.35">
      <c r="B9" s="589"/>
      <c r="C9" s="589"/>
      <c r="D9" s="546" t="s">
        <v>848</v>
      </c>
    </row>
    <row r="10" spans="1:4" x14ac:dyDescent="0.35">
      <c r="B10" s="589"/>
      <c r="C10" s="589"/>
      <c r="D10" s="546"/>
    </row>
    <row r="11" spans="1:4" x14ac:dyDescent="0.35">
      <c r="B11" s="589"/>
      <c r="C11" s="589"/>
      <c r="D11" s="546"/>
    </row>
    <row r="12" spans="1:4" x14ac:dyDescent="0.35">
      <c r="B12" s="3514"/>
      <c r="C12" s="3514"/>
    </row>
    <row r="13" spans="1:4" x14ac:dyDescent="0.35">
      <c r="A13" s="3515" t="s">
        <v>803</v>
      </c>
      <c r="B13" s="3515"/>
      <c r="C13" s="3515"/>
    </row>
    <row r="14" spans="1:4" ht="16.5" customHeight="1" x14ac:dyDescent="0.35">
      <c r="A14" s="3515" t="s">
        <v>804</v>
      </c>
      <c r="B14" s="3515"/>
      <c r="C14" s="3515"/>
      <c r="D14" s="590"/>
    </row>
    <row r="15" spans="1:4" ht="16.5" customHeight="1" x14ac:dyDescent="0.35">
      <c r="A15" s="3515" t="s">
        <v>847</v>
      </c>
      <c r="B15" s="3515"/>
      <c r="C15" s="3515"/>
      <c r="D15" s="590"/>
    </row>
    <row r="16" spans="1:4" ht="16" thickBot="1" x14ac:dyDescent="0.4">
      <c r="A16" s="591"/>
      <c r="B16" s="592"/>
      <c r="C16" s="593"/>
    </row>
    <row r="17" spans="1:3" s="595" customFormat="1" thickBot="1" x14ac:dyDescent="0.3">
      <c r="A17" s="3516" t="s">
        <v>805</v>
      </c>
      <c r="B17" s="3517"/>
      <c r="C17" s="594" t="s">
        <v>806</v>
      </c>
    </row>
    <row r="18" spans="1:3" s="595" customFormat="1" ht="13.5" customHeight="1" x14ac:dyDescent="0.25">
      <c r="A18" s="3518" t="s">
        <v>807</v>
      </c>
      <c r="B18" s="3519"/>
      <c r="C18" s="596">
        <v>0.1</v>
      </c>
    </row>
    <row r="19" spans="1:3" s="595" customFormat="1" ht="20.25" customHeight="1" x14ac:dyDescent="0.25">
      <c r="A19" s="3510" t="s">
        <v>660</v>
      </c>
      <c r="B19" s="3511"/>
      <c r="C19" s="597">
        <v>1</v>
      </c>
    </row>
    <row r="20" spans="1:3" s="595" customFormat="1" ht="18" customHeight="1" x14ac:dyDescent="0.25">
      <c r="A20" s="3522" t="s">
        <v>664</v>
      </c>
      <c r="B20" s="3523"/>
      <c r="C20" s="598">
        <v>1</v>
      </c>
    </row>
    <row r="21" spans="1:3" s="595" customFormat="1" ht="17.25" hidden="1" customHeight="1" x14ac:dyDescent="0.25">
      <c r="A21" s="3524" t="s">
        <v>662</v>
      </c>
      <c r="B21" s="3525"/>
      <c r="C21" s="599">
        <v>0.5</v>
      </c>
    </row>
    <row r="22" spans="1:3" s="595" customFormat="1" ht="18.75" hidden="1" customHeight="1" x14ac:dyDescent="0.25">
      <c r="A22" s="3522" t="s">
        <v>808</v>
      </c>
      <c r="B22" s="3523"/>
      <c r="C22" s="598">
        <v>0.5</v>
      </c>
    </row>
    <row r="23" spans="1:3" s="595" customFormat="1" ht="17.25" hidden="1" customHeight="1" x14ac:dyDescent="0.25">
      <c r="A23" s="3522" t="s">
        <v>809</v>
      </c>
      <c r="B23" s="3523"/>
      <c r="C23" s="598">
        <v>0.5</v>
      </c>
    </row>
    <row r="24" spans="1:3" s="595" customFormat="1" ht="15.75" customHeight="1" x14ac:dyDescent="0.25">
      <c r="A24" s="3522" t="s">
        <v>810</v>
      </c>
      <c r="B24" s="3523"/>
      <c r="C24" s="600">
        <v>1</v>
      </c>
    </row>
    <row r="25" spans="1:3" s="595" customFormat="1" ht="15.75" customHeight="1" x14ac:dyDescent="0.25">
      <c r="A25" s="3522" t="s">
        <v>811</v>
      </c>
      <c r="B25" s="3523"/>
      <c r="C25" s="600">
        <v>1</v>
      </c>
    </row>
    <row r="26" spans="1:3" s="595" customFormat="1" ht="20.25" customHeight="1" thickBot="1" x14ac:dyDescent="0.3">
      <c r="A26" s="3520" t="s">
        <v>812</v>
      </c>
      <c r="B26" s="3521"/>
      <c r="C26" s="601">
        <v>1</v>
      </c>
    </row>
    <row r="27" spans="1:3" x14ac:dyDescent="0.35">
      <c r="A27" s="602"/>
      <c r="B27" s="603"/>
      <c r="C27" s="603"/>
    </row>
    <row r="28" spans="1:3" x14ac:dyDescent="0.35">
      <c r="A28" s="602"/>
      <c r="B28" s="603"/>
      <c r="C28" s="603"/>
    </row>
    <row r="29" spans="1:3" x14ac:dyDescent="0.35">
      <c r="A29" s="602"/>
      <c r="B29" s="603"/>
      <c r="C29" s="603"/>
    </row>
    <row r="30" spans="1:3" x14ac:dyDescent="0.35">
      <c r="A30" s="602"/>
      <c r="B30" s="603"/>
      <c r="C30" s="603"/>
    </row>
    <row r="31" spans="1:3" x14ac:dyDescent="0.35">
      <c r="A31" s="602"/>
      <c r="B31" s="603"/>
      <c r="C31" s="603"/>
    </row>
    <row r="32" spans="1:3" x14ac:dyDescent="0.35">
      <c r="A32" s="602"/>
      <c r="B32" s="603"/>
      <c r="C32" s="603"/>
    </row>
    <row r="33" spans="1:3" x14ac:dyDescent="0.35">
      <c r="A33" s="602"/>
      <c r="B33" s="603"/>
      <c r="C33" s="603"/>
    </row>
    <row r="34" spans="1:3" x14ac:dyDescent="0.35">
      <c r="A34" s="602"/>
      <c r="B34" s="603"/>
      <c r="C34" s="603"/>
    </row>
    <row r="35" spans="1:3" x14ac:dyDescent="0.35">
      <c r="A35" s="602"/>
      <c r="B35" s="603"/>
      <c r="C35" s="603"/>
    </row>
    <row r="36" spans="1:3" x14ac:dyDescent="0.35">
      <c r="A36" s="602"/>
      <c r="B36" s="603"/>
      <c r="C36" s="603"/>
    </row>
    <row r="37" spans="1:3" x14ac:dyDescent="0.35">
      <c r="A37" s="602"/>
      <c r="B37" s="603"/>
      <c r="C37" s="603"/>
    </row>
    <row r="38" spans="1:3" x14ac:dyDescent="0.35">
      <c r="A38" s="602"/>
      <c r="B38" s="603"/>
      <c r="C38" s="603"/>
    </row>
    <row r="39" spans="1:3" x14ac:dyDescent="0.3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796875" defaultRowHeight="12.5" x14ac:dyDescent="0.25"/>
  <cols>
    <col min="1" max="1" width="8.81640625" style="580" customWidth="1"/>
    <col min="2" max="2" width="60.26953125" style="606" customWidth="1"/>
    <col min="3" max="3" width="10" style="581" hidden="1" customWidth="1"/>
    <col min="4" max="4" width="9.26953125" style="611" hidden="1" customWidth="1"/>
    <col min="5" max="5" width="10.453125" style="611" hidden="1" customWidth="1"/>
    <col min="6" max="6" width="10.54296875" style="4" customWidth="1"/>
    <col min="7" max="7" width="7.54296875" style="4" customWidth="1"/>
    <col min="8" max="8" width="10.453125" style="4" customWidth="1"/>
    <col min="9" max="9" width="15.54296875" style="263" customWidth="1"/>
    <col min="10" max="10" width="14.7265625" style="605" hidden="1" customWidth="1"/>
    <col min="11" max="11" width="15.81640625" style="605" hidden="1" customWidth="1"/>
    <col min="12" max="12" width="18.7265625" style="605" hidden="1" customWidth="1"/>
    <col min="13" max="13" width="9.1796875" style="580" customWidth="1"/>
    <col min="14" max="23" width="9.1796875" style="608" customWidth="1"/>
    <col min="24" max="256" width="9.1796875" style="580"/>
    <col min="257" max="257" width="8.81640625" style="580" customWidth="1"/>
    <col min="258" max="258" width="60.26953125" style="580" customWidth="1"/>
    <col min="259" max="261" width="0" style="580" hidden="1" customWidth="1"/>
    <col min="262" max="262" width="11.54296875" style="580" customWidth="1"/>
    <col min="263" max="263" width="10.26953125" style="580" customWidth="1"/>
    <col min="264" max="264" width="10.453125" style="580" customWidth="1"/>
    <col min="265" max="265" width="22.1796875" style="580" customWidth="1"/>
    <col min="266" max="268" width="0" style="580" hidden="1" customWidth="1"/>
    <col min="269" max="279" width="9.1796875" style="580" customWidth="1"/>
    <col min="280" max="512" width="9.1796875" style="580"/>
    <col min="513" max="513" width="8.81640625" style="580" customWidth="1"/>
    <col min="514" max="514" width="60.26953125" style="580" customWidth="1"/>
    <col min="515" max="517" width="0" style="580" hidden="1" customWidth="1"/>
    <col min="518" max="518" width="11.54296875" style="580" customWidth="1"/>
    <col min="519" max="519" width="10.26953125" style="580" customWidth="1"/>
    <col min="520" max="520" width="10.453125" style="580" customWidth="1"/>
    <col min="521" max="521" width="22.1796875" style="580" customWidth="1"/>
    <col min="522" max="524" width="0" style="580" hidden="1" customWidth="1"/>
    <col min="525" max="535" width="9.1796875" style="580" customWidth="1"/>
    <col min="536" max="768" width="9.1796875" style="580"/>
    <col min="769" max="769" width="8.81640625" style="580" customWidth="1"/>
    <col min="770" max="770" width="60.26953125" style="580" customWidth="1"/>
    <col min="771" max="773" width="0" style="580" hidden="1" customWidth="1"/>
    <col min="774" max="774" width="11.54296875" style="580" customWidth="1"/>
    <col min="775" max="775" width="10.26953125" style="580" customWidth="1"/>
    <col min="776" max="776" width="10.453125" style="580" customWidth="1"/>
    <col min="777" max="777" width="22.1796875" style="580" customWidth="1"/>
    <col min="778" max="780" width="0" style="580" hidden="1" customWidth="1"/>
    <col min="781" max="791" width="9.1796875" style="580" customWidth="1"/>
    <col min="792" max="1024" width="9.1796875" style="580"/>
    <col min="1025" max="1025" width="8.81640625" style="580" customWidth="1"/>
    <col min="1026" max="1026" width="60.26953125" style="580" customWidth="1"/>
    <col min="1027" max="1029" width="0" style="580" hidden="1" customWidth="1"/>
    <col min="1030" max="1030" width="11.54296875" style="580" customWidth="1"/>
    <col min="1031" max="1031" width="10.26953125" style="580" customWidth="1"/>
    <col min="1032" max="1032" width="10.453125" style="580" customWidth="1"/>
    <col min="1033" max="1033" width="22.1796875" style="580" customWidth="1"/>
    <col min="1034" max="1036" width="0" style="580" hidden="1" customWidth="1"/>
    <col min="1037" max="1047" width="9.1796875" style="580" customWidth="1"/>
    <col min="1048" max="1280" width="9.1796875" style="580"/>
    <col min="1281" max="1281" width="8.81640625" style="580" customWidth="1"/>
    <col min="1282" max="1282" width="60.26953125" style="580" customWidth="1"/>
    <col min="1283" max="1285" width="0" style="580" hidden="1" customWidth="1"/>
    <col min="1286" max="1286" width="11.54296875" style="580" customWidth="1"/>
    <col min="1287" max="1287" width="10.26953125" style="580" customWidth="1"/>
    <col min="1288" max="1288" width="10.453125" style="580" customWidth="1"/>
    <col min="1289" max="1289" width="22.1796875" style="580" customWidth="1"/>
    <col min="1290" max="1292" width="0" style="580" hidden="1" customWidth="1"/>
    <col min="1293" max="1303" width="9.1796875" style="580" customWidth="1"/>
    <col min="1304" max="1536" width="9.1796875" style="580"/>
    <col min="1537" max="1537" width="8.81640625" style="580" customWidth="1"/>
    <col min="1538" max="1538" width="60.26953125" style="580" customWidth="1"/>
    <col min="1539" max="1541" width="0" style="580" hidden="1" customWidth="1"/>
    <col min="1542" max="1542" width="11.54296875" style="580" customWidth="1"/>
    <col min="1543" max="1543" width="10.26953125" style="580" customWidth="1"/>
    <col min="1544" max="1544" width="10.453125" style="580" customWidth="1"/>
    <col min="1545" max="1545" width="22.1796875" style="580" customWidth="1"/>
    <col min="1546" max="1548" width="0" style="580" hidden="1" customWidth="1"/>
    <col min="1549" max="1559" width="9.1796875" style="580" customWidth="1"/>
    <col min="1560" max="1792" width="9.1796875" style="580"/>
    <col min="1793" max="1793" width="8.81640625" style="580" customWidth="1"/>
    <col min="1794" max="1794" width="60.26953125" style="580" customWidth="1"/>
    <col min="1795" max="1797" width="0" style="580" hidden="1" customWidth="1"/>
    <col min="1798" max="1798" width="11.54296875" style="580" customWidth="1"/>
    <col min="1799" max="1799" width="10.26953125" style="580" customWidth="1"/>
    <col min="1800" max="1800" width="10.453125" style="580" customWidth="1"/>
    <col min="1801" max="1801" width="22.1796875" style="580" customWidth="1"/>
    <col min="1802" max="1804" width="0" style="580" hidden="1" customWidth="1"/>
    <col min="1805" max="1815" width="9.1796875" style="580" customWidth="1"/>
    <col min="1816" max="2048" width="9.1796875" style="580"/>
    <col min="2049" max="2049" width="8.81640625" style="580" customWidth="1"/>
    <col min="2050" max="2050" width="60.26953125" style="580" customWidth="1"/>
    <col min="2051" max="2053" width="0" style="580" hidden="1" customWidth="1"/>
    <col min="2054" max="2054" width="11.54296875" style="580" customWidth="1"/>
    <col min="2055" max="2055" width="10.26953125" style="580" customWidth="1"/>
    <col min="2056" max="2056" width="10.453125" style="580" customWidth="1"/>
    <col min="2057" max="2057" width="22.1796875" style="580" customWidth="1"/>
    <col min="2058" max="2060" width="0" style="580" hidden="1" customWidth="1"/>
    <col min="2061" max="2071" width="9.1796875" style="580" customWidth="1"/>
    <col min="2072" max="2304" width="9.1796875" style="580"/>
    <col min="2305" max="2305" width="8.81640625" style="580" customWidth="1"/>
    <col min="2306" max="2306" width="60.26953125" style="580" customWidth="1"/>
    <col min="2307" max="2309" width="0" style="580" hidden="1" customWidth="1"/>
    <col min="2310" max="2310" width="11.54296875" style="580" customWidth="1"/>
    <col min="2311" max="2311" width="10.26953125" style="580" customWidth="1"/>
    <col min="2312" max="2312" width="10.453125" style="580" customWidth="1"/>
    <col min="2313" max="2313" width="22.1796875" style="580" customWidth="1"/>
    <col min="2314" max="2316" width="0" style="580" hidden="1" customWidth="1"/>
    <col min="2317" max="2327" width="9.1796875" style="580" customWidth="1"/>
    <col min="2328" max="2560" width="9.1796875" style="580"/>
    <col min="2561" max="2561" width="8.81640625" style="580" customWidth="1"/>
    <col min="2562" max="2562" width="60.26953125" style="580" customWidth="1"/>
    <col min="2563" max="2565" width="0" style="580" hidden="1" customWidth="1"/>
    <col min="2566" max="2566" width="11.54296875" style="580" customWidth="1"/>
    <col min="2567" max="2567" width="10.26953125" style="580" customWidth="1"/>
    <col min="2568" max="2568" width="10.453125" style="580" customWidth="1"/>
    <col min="2569" max="2569" width="22.1796875" style="580" customWidth="1"/>
    <col min="2570" max="2572" width="0" style="580" hidden="1" customWidth="1"/>
    <col min="2573" max="2583" width="9.1796875" style="580" customWidth="1"/>
    <col min="2584" max="2816" width="9.1796875" style="580"/>
    <col min="2817" max="2817" width="8.81640625" style="580" customWidth="1"/>
    <col min="2818" max="2818" width="60.26953125" style="580" customWidth="1"/>
    <col min="2819" max="2821" width="0" style="580" hidden="1" customWidth="1"/>
    <col min="2822" max="2822" width="11.54296875" style="580" customWidth="1"/>
    <col min="2823" max="2823" width="10.26953125" style="580" customWidth="1"/>
    <col min="2824" max="2824" width="10.453125" style="580" customWidth="1"/>
    <col min="2825" max="2825" width="22.1796875" style="580" customWidth="1"/>
    <col min="2826" max="2828" width="0" style="580" hidden="1" customWidth="1"/>
    <col min="2829" max="2839" width="9.1796875" style="580" customWidth="1"/>
    <col min="2840" max="3072" width="9.1796875" style="580"/>
    <col min="3073" max="3073" width="8.81640625" style="580" customWidth="1"/>
    <col min="3074" max="3074" width="60.26953125" style="580" customWidth="1"/>
    <col min="3075" max="3077" width="0" style="580" hidden="1" customWidth="1"/>
    <col min="3078" max="3078" width="11.54296875" style="580" customWidth="1"/>
    <col min="3079" max="3079" width="10.26953125" style="580" customWidth="1"/>
    <col min="3080" max="3080" width="10.453125" style="580" customWidth="1"/>
    <col min="3081" max="3081" width="22.1796875" style="580" customWidth="1"/>
    <col min="3082" max="3084" width="0" style="580" hidden="1" customWidth="1"/>
    <col min="3085" max="3095" width="9.1796875" style="580" customWidth="1"/>
    <col min="3096" max="3328" width="9.1796875" style="580"/>
    <col min="3329" max="3329" width="8.81640625" style="580" customWidth="1"/>
    <col min="3330" max="3330" width="60.26953125" style="580" customWidth="1"/>
    <col min="3331" max="3333" width="0" style="580" hidden="1" customWidth="1"/>
    <col min="3334" max="3334" width="11.54296875" style="580" customWidth="1"/>
    <col min="3335" max="3335" width="10.26953125" style="580" customWidth="1"/>
    <col min="3336" max="3336" width="10.453125" style="580" customWidth="1"/>
    <col min="3337" max="3337" width="22.1796875" style="580" customWidth="1"/>
    <col min="3338" max="3340" width="0" style="580" hidden="1" customWidth="1"/>
    <col min="3341" max="3351" width="9.1796875" style="580" customWidth="1"/>
    <col min="3352" max="3584" width="9.1796875" style="580"/>
    <col min="3585" max="3585" width="8.81640625" style="580" customWidth="1"/>
    <col min="3586" max="3586" width="60.26953125" style="580" customWidth="1"/>
    <col min="3587" max="3589" width="0" style="580" hidden="1" customWidth="1"/>
    <col min="3590" max="3590" width="11.54296875" style="580" customWidth="1"/>
    <col min="3591" max="3591" width="10.26953125" style="580" customWidth="1"/>
    <col min="3592" max="3592" width="10.453125" style="580" customWidth="1"/>
    <col min="3593" max="3593" width="22.1796875" style="580" customWidth="1"/>
    <col min="3594" max="3596" width="0" style="580" hidden="1" customWidth="1"/>
    <col min="3597" max="3607" width="9.1796875" style="580" customWidth="1"/>
    <col min="3608" max="3840" width="9.1796875" style="580"/>
    <col min="3841" max="3841" width="8.81640625" style="580" customWidth="1"/>
    <col min="3842" max="3842" width="60.26953125" style="580" customWidth="1"/>
    <col min="3843" max="3845" width="0" style="580" hidden="1" customWidth="1"/>
    <col min="3846" max="3846" width="11.54296875" style="580" customWidth="1"/>
    <col min="3847" max="3847" width="10.26953125" style="580" customWidth="1"/>
    <col min="3848" max="3848" width="10.453125" style="580" customWidth="1"/>
    <col min="3849" max="3849" width="22.1796875" style="580" customWidth="1"/>
    <col min="3850" max="3852" width="0" style="580" hidden="1" customWidth="1"/>
    <col min="3853" max="3863" width="9.1796875" style="580" customWidth="1"/>
    <col min="3864" max="4096" width="9.1796875" style="580"/>
    <col min="4097" max="4097" width="8.81640625" style="580" customWidth="1"/>
    <col min="4098" max="4098" width="60.26953125" style="580" customWidth="1"/>
    <col min="4099" max="4101" width="0" style="580" hidden="1" customWidth="1"/>
    <col min="4102" max="4102" width="11.54296875" style="580" customWidth="1"/>
    <col min="4103" max="4103" width="10.26953125" style="580" customWidth="1"/>
    <col min="4104" max="4104" width="10.453125" style="580" customWidth="1"/>
    <col min="4105" max="4105" width="22.1796875" style="580" customWidth="1"/>
    <col min="4106" max="4108" width="0" style="580" hidden="1" customWidth="1"/>
    <col min="4109" max="4119" width="9.1796875" style="580" customWidth="1"/>
    <col min="4120" max="4352" width="9.1796875" style="580"/>
    <col min="4353" max="4353" width="8.81640625" style="580" customWidth="1"/>
    <col min="4354" max="4354" width="60.26953125" style="580" customWidth="1"/>
    <col min="4355" max="4357" width="0" style="580" hidden="1" customWidth="1"/>
    <col min="4358" max="4358" width="11.54296875" style="580" customWidth="1"/>
    <col min="4359" max="4359" width="10.26953125" style="580" customWidth="1"/>
    <col min="4360" max="4360" width="10.453125" style="580" customWidth="1"/>
    <col min="4361" max="4361" width="22.1796875" style="580" customWidth="1"/>
    <col min="4362" max="4364" width="0" style="580" hidden="1" customWidth="1"/>
    <col min="4365" max="4375" width="9.1796875" style="580" customWidth="1"/>
    <col min="4376" max="4608" width="9.1796875" style="580"/>
    <col min="4609" max="4609" width="8.81640625" style="580" customWidth="1"/>
    <col min="4610" max="4610" width="60.26953125" style="580" customWidth="1"/>
    <col min="4611" max="4613" width="0" style="580" hidden="1" customWidth="1"/>
    <col min="4614" max="4614" width="11.54296875" style="580" customWidth="1"/>
    <col min="4615" max="4615" width="10.26953125" style="580" customWidth="1"/>
    <col min="4616" max="4616" width="10.453125" style="580" customWidth="1"/>
    <col min="4617" max="4617" width="22.1796875" style="580" customWidth="1"/>
    <col min="4618" max="4620" width="0" style="580" hidden="1" customWidth="1"/>
    <col min="4621" max="4631" width="9.1796875" style="580" customWidth="1"/>
    <col min="4632" max="4864" width="9.1796875" style="580"/>
    <col min="4865" max="4865" width="8.81640625" style="580" customWidth="1"/>
    <col min="4866" max="4866" width="60.26953125" style="580" customWidth="1"/>
    <col min="4867" max="4869" width="0" style="580" hidden="1" customWidth="1"/>
    <col min="4870" max="4870" width="11.54296875" style="580" customWidth="1"/>
    <col min="4871" max="4871" width="10.26953125" style="580" customWidth="1"/>
    <col min="4872" max="4872" width="10.453125" style="580" customWidth="1"/>
    <col min="4873" max="4873" width="22.1796875" style="580" customWidth="1"/>
    <col min="4874" max="4876" width="0" style="580" hidden="1" customWidth="1"/>
    <col min="4877" max="4887" width="9.1796875" style="580" customWidth="1"/>
    <col min="4888" max="5120" width="9.1796875" style="580"/>
    <col min="5121" max="5121" width="8.81640625" style="580" customWidth="1"/>
    <col min="5122" max="5122" width="60.26953125" style="580" customWidth="1"/>
    <col min="5123" max="5125" width="0" style="580" hidden="1" customWidth="1"/>
    <col min="5126" max="5126" width="11.54296875" style="580" customWidth="1"/>
    <col min="5127" max="5127" width="10.26953125" style="580" customWidth="1"/>
    <col min="5128" max="5128" width="10.453125" style="580" customWidth="1"/>
    <col min="5129" max="5129" width="22.1796875" style="580" customWidth="1"/>
    <col min="5130" max="5132" width="0" style="580" hidden="1" customWidth="1"/>
    <col min="5133" max="5143" width="9.1796875" style="580" customWidth="1"/>
    <col min="5144" max="5376" width="9.1796875" style="580"/>
    <col min="5377" max="5377" width="8.81640625" style="580" customWidth="1"/>
    <col min="5378" max="5378" width="60.26953125" style="580" customWidth="1"/>
    <col min="5379" max="5381" width="0" style="580" hidden="1" customWidth="1"/>
    <col min="5382" max="5382" width="11.54296875" style="580" customWidth="1"/>
    <col min="5383" max="5383" width="10.26953125" style="580" customWidth="1"/>
    <col min="5384" max="5384" width="10.453125" style="580" customWidth="1"/>
    <col min="5385" max="5385" width="22.1796875" style="580" customWidth="1"/>
    <col min="5386" max="5388" width="0" style="580" hidden="1" customWidth="1"/>
    <col min="5389" max="5399" width="9.1796875" style="580" customWidth="1"/>
    <col min="5400" max="5632" width="9.1796875" style="580"/>
    <col min="5633" max="5633" width="8.81640625" style="580" customWidth="1"/>
    <col min="5634" max="5634" width="60.26953125" style="580" customWidth="1"/>
    <col min="5635" max="5637" width="0" style="580" hidden="1" customWidth="1"/>
    <col min="5638" max="5638" width="11.54296875" style="580" customWidth="1"/>
    <col min="5639" max="5639" width="10.26953125" style="580" customWidth="1"/>
    <col min="5640" max="5640" width="10.453125" style="580" customWidth="1"/>
    <col min="5641" max="5641" width="22.1796875" style="580" customWidth="1"/>
    <col min="5642" max="5644" width="0" style="580" hidden="1" customWidth="1"/>
    <col min="5645" max="5655" width="9.1796875" style="580" customWidth="1"/>
    <col min="5656" max="5888" width="9.1796875" style="580"/>
    <col min="5889" max="5889" width="8.81640625" style="580" customWidth="1"/>
    <col min="5890" max="5890" width="60.26953125" style="580" customWidth="1"/>
    <col min="5891" max="5893" width="0" style="580" hidden="1" customWidth="1"/>
    <col min="5894" max="5894" width="11.54296875" style="580" customWidth="1"/>
    <col min="5895" max="5895" width="10.26953125" style="580" customWidth="1"/>
    <col min="5896" max="5896" width="10.453125" style="580" customWidth="1"/>
    <col min="5897" max="5897" width="22.1796875" style="580" customWidth="1"/>
    <col min="5898" max="5900" width="0" style="580" hidden="1" customWidth="1"/>
    <col min="5901" max="5911" width="9.1796875" style="580" customWidth="1"/>
    <col min="5912" max="6144" width="9.1796875" style="580"/>
    <col min="6145" max="6145" width="8.81640625" style="580" customWidth="1"/>
    <col min="6146" max="6146" width="60.26953125" style="580" customWidth="1"/>
    <col min="6147" max="6149" width="0" style="580" hidden="1" customWidth="1"/>
    <col min="6150" max="6150" width="11.54296875" style="580" customWidth="1"/>
    <col min="6151" max="6151" width="10.26953125" style="580" customWidth="1"/>
    <col min="6152" max="6152" width="10.453125" style="580" customWidth="1"/>
    <col min="6153" max="6153" width="22.1796875" style="580" customWidth="1"/>
    <col min="6154" max="6156" width="0" style="580" hidden="1" customWidth="1"/>
    <col min="6157" max="6167" width="9.1796875" style="580" customWidth="1"/>
    <col min="6168" max="6400" width="9.1796875" style="580"/>
    <col min="6401" max="6401" width="8.81640625" style="580" customWidth="1"/>
    <col min="6402" max="6402" width="60.26953125" style="580" customWidth="1"/>
    <col min="6403" max="6405" width="0" style="580" hidden="1" customWidth="1"/>
    <col min="6406" max="6406" width="11.54296875" style="580" customWidth="1"/>
    <col min="6407" max="6407" width="10.26953125" style="580" customWidth="1"/>
    <col min="6408" max="6408" width="10.453125" style="580" customWidth="1"/>
    <col min="6409" max="6409" width="22.1796875" style="580" customWidth="1"/>
    <col min="6410" max="6412" width="0" style="580" hidden="1" customWidth="1"/>
    <col min="6413" max="6423" width="9.1796875" style="580" customWidth="1"/>
    <col min="6424" max="6656" width="9.1796875" style="580"/>
    <col min="6657" max="6657" width="8.81640625" style="580" customWidth="1"/>
    <col min="6658" max="6658" width="60.26953125" style="580" customWidth="1"/>
    <col min="6659" max="6661" width="0" style="580" hidden="1" customWidth="1"/>
    <col min="6662" max="6662" width="11.54296875" style="580" customWidth="1"/>
    <col min="6663" max="6663" width="10.26953125" style="580" customWidth="1"/>
    <col min="6664" max="6664" width="10.453125" style="580" customWidth="1"/>
    <col min="6665" max="6665" width="22.1796875" style="580" customWidth="1"/>
    <col min="6666" max="6668" width="0" style="580" hidden="1" customWidth="1"/>
    <col min="6669" max="6679" width="9.1796875" style="580" customWidth="1"/>
    <col min="6680" max="6912" width="9.1796875" style="580"/>
    <col min="6913" max="6913" width="8.81640625" style="580" customWidth="1"/>
    <col min="6914" max="6914" width="60.26953125" style="580" customWidth="1"/>
    <col min="6915" max="6917" width="0" style="580" hidden="1" customWidth="1"/>
    <col min="6918" max="6918" width="11.54296875" style="580" customWidth="1"/>
    <col min="6919" max="6919" width="10.26953125" style="580" customWidth="1"/>
    <col min="6920" max="6920" width="10.453125" style="580" customWidth="1"/>
    <col min="6921" max="6921" width="22.1796875" style="580" customWidth="1"/>
    <col min="6922" max="6924" width="0" style="580" hidden="1" customWidth="1"/>
    <col min="6925" max="6935" width="9.1796875" style="580" customWidth="1"/>
    <col min="6936" max="7168" width="9.1796875" style="580"/>
    <col min="7169" max="7169" width="8.81640625" style="580" customWidth="1"/>
    <col min="7170" max="7170" width="60.26953125" style="580" customWidth="1"/>
    <col min="7171" max="7173" width="0" style="580" hidden="1" customWidth="1"/>
    <col min="7174" max="7174" width="11.54296875" style="580" customWidth="1"/>
    <col min="7175" max="7175" width="10.26953125" style="580" customWidth="1"/>
    <col min="7176" max="7176" width="10.453125" style="580" customWidth="1"/>
    <col min="7177" max="7177" width="22.1796875" style="580" customWidth="1"/>
    <col min="7178" max="7180" width="0" style="580" hidden="1" customWidth="1"/>
    <col min="7181" max="7191" width="9.1796875" style="580" customWidth="1"/>
    <col min="7192" max="7424" width="9.1796875" style="580"/>
    <col min="7425" max="7425" width="8.81640625" style="580" customWidth="1"/>
    <col min="7426" max="7426" width="60.26953125" style="580" customWidth="1"/>
    <col min="7427" max="7429" width="0" style="580" hidden="1" customWidth="1"/>
    <col min="7430" max="7430" width="11.54296875" style="580" customWidth="1"/>
    <col min="7431" max="7431" width="10.26953125" style="580" customWidth="1"/>
    <col min="7432" max="7432" width="10.453125" style="580" customWidth="1"/>
    <col min="7433" max="7433" width="22.1796875" style="580" customWidth="1"/>
    <col min="7434" max="7436" width="0" style="580" hidden="1" customWidth="1"/>
    <col min="7437" max="7447" width="9.1796875" style="580" customWidth="1"/>
    <col min="7448" max="7680" width="9.1796875" style="580"/>
    <col min="7681" max="7681" width="8.81640625" style="580" customWidth="1"/>
    <col min="7682" max="7682" width="60.26953125" style="580" customWidth="1"/>
    <col min="7683" max="7685" width="0" style="580" hidden="1" customWidth="1"/>
    <col min="7686" max="7686" width="11.54296875" style="580" customWidth="1"/>
    <col min="7687" max="7687" width="10.26953125" style="580" customWidth="1"/>
    <col min="7688" max="7688" width="10.453125" style="580" customWidth="1"/>
    <col min="7689" max="7689" width="22.1796875" style="580" customWidth="1"/>
    <col min="7690" max="7692" width="0" style="580" hidden="1" customWidth="1"/>
    <col min="7693" max="7703" width="9.1796875" style="580" customWidth="1"/>
    <col min="7704" max="7936" width="9.1796875" style="580"/>
    <col min="7937" max="7937" width="8.81640625" style="580" customWidth="1"/>
    <col min="7938" max="7938" width="60.26953125" style="580" customWidth="1"/>
    <col min="7939" max="7941" width="0" style="580" hidden="1" customWidth="1"/>
    <col min="7942" max="7942" width="11.54296875" style="580" customWidth="1"/>
    <col min="7943" max="7943" width="10.26953125" style="580" customWidth="1"/>
    <col min="7944" max="7944" width="10.453125" style="580" customWidth="1"/>
    <col min="7945" max="7945" width="22.1796875" style="580" customWidth="1"/>
    <col min="7946" max="7948" width="0" style="580" hidden="1" customWidth="1"/>
    <col min="7949" max="7959" width="9.1796875" style="580" customWidth="1"/>
    <col min="7960" max="8192" width="9.1796875" style="580"/>
    <col min="8193" max="8193" width="8.81640625" style="580" customWidth="1"/>
    <col min="8194" max="8194" width="60.26953125" style="580" customWidth="1"/>
    <col min="8195" max="8197" width="0" style="580" hidden="1" customWidth="1"/>
    <col min="8198" max="8198" width="11.54296875" style="580" customWidth="1"/>
    <col min="8199" max="8199" width="10.26953125" style="580" customWidth="1"/>
    <col min="8200" max="8200" width="10.453125" style="580" customWidth="1"/>
    <col min="8201" max="8201" width="22.1796875" style="580" customWidth="1"/>
    <col min="8202" max="8204" width="0" style="580" hidden="1" customWidth="1"/>
    <col min="8205" max="8215" width="9.1796875" style="580" customWidth="1"/>
    <col min="8216" max="8448" width="9.1796875" style="580"/>
    <col min="8449" max="8449" width="8.81640625" style="580" customWidth="1"/>
    <col min="8450" max="8450" width="60.26953125" style="580" customWidth="1"/>
    <col min="8451" max="8453" width="0" style="580" hidden="1" customWidth="1"/>
    <col min="8454" max="8454" width="11.54296875" style="580" customWidth="1"/>
    <col min="8455" max="8455" width="10.26953125" style="580" customWidth="1"/>
    <col min="8456" max="8456" width="10.453125" style="580" customWidth="1"/>
    <col min="8457" max="8457" width="22.1796875" style="580" customWidth="1"/>
    <col min="8458" max="8460" width="0" style="580" hidden="1" customWidth="1"/>
    <col min="8461" max="8471" width="9.1796875" style="580" customWidth="1"/>
    <col min="8472" max="8704" width="9.1796875" style="580"/>
    <col min="8705" max="8705" width="8.81640625" style="580" customWidth="1"/>
    <col min="8706" max="8706" width="60.26953125" style="580" customWidth="1"/>
    <col min="8707" max="8709" width="0" style="580" hidden="1" customWidth="1"/>
    <col min="8710" max="8710" width="11.54296875" style="580" customWidth="1"/>
    <col min="8711" max="8711" width="10.26953125" style="580" customWidth="1"/>
    <col min="8712" max="8712" width="10.453125" style="580" customWidth="1"/>
    <col min="8713" max="8713" width="22.1796875" style="580" customWidth="1"/>
    <col min="8714" max="8716" width="0" style="580" hidden="1" customWidth="1"/>
    <col min="8717" max="8727" width="9.1796875" style="580" customWidth="1"/>
    <col min="8728" max="8960" width="9.1796875" style="580"/>
    <col min="8961" max="8961" width="8.81640625" style="580" customWidth="1"/>
    <col min="8962" max="8962" width="60.26953125" style="580" customWidth="1"/>
    <col min="8963" max="8965" width="0" style="580" hidden="1" customWidth="1"/>
    <col min="8966" max="8966" width="11.54296875" style="580" customWidth="1"/>
    <col min="8967" max="8967" width="10.26953125" style="580" customWidth="1"/>
    <col min="8968" max="8968" width="10.453125" style="580" customWidth="1"/>
    <col min="8969" max="8969" width="22.1796875" style="580" customWidth="1"/>
    <col min="8970" max="8972" width="0" style="580" hidden="1" customWidth="1"/>
    <col min="8973" max="8983" width="9.1796875" style="580" customWidth="1"/>
    <col min="8984" max="9216" width="9.1796875" style="580"/>
    <col min="9217" max="9217" width="8.81640625" style="580" customWidth="1"/>
    <col min="9218" max="9218" width="60.26953125" style="580" customWidth="1"/>
    <col min="9219" max="9221" width="0" style="580" hidden="1" customWidth="1"/>
    <col min="9222" max="9222" width="11.54296875" style="580" customWidth="1"/>
    <col min="9223" max="9223" width="10.26953125" style="580" customWidth="1"/>
    <col min="9224" max="9224" width="10.453125" style="580" customWidth="1"/>
    <col min="9225" max="9225" width="22.1796875" style="580" customWidth="1"/>
    <col min="9226" max="9228" width="0" style="580" hidden="1" customWidth="1"/>
    <col min="9229" max="9239" width="9.1796875" style="580" customWidth="1"/>
    <col min="9240" max="9472" width="9.1796875" style="580"/>
    <col min="9473" max="9473" width="8.81640625" style="580" customWidth="1"/>
    <col min="9474" max="9474" width="60.26953125" style="580" customWidth="1"/>
    <col min="9475" max="9477" width="0" style="580" hidden="1" customWidth="1"/>
    <col min="9478" max="9478" width="11.54296875" style="580" customWidth="1"/>
    <col min="9479" max="9479" width="10.26953125" style="580" customWidth="1"/>
    <col min="9480" max="9480" width="10.453125" style="580" customWidth="1"/>
    <col min="9481" max="9481" width="22.1796875" style="580" customWidth="1"/>
    <col min="9482" max="9484" width="0" style="580" hidden="1" customWidth="1"/>
    <col min="9485" max="9495" width="9.1796875" style="580" customWidth="1"/>
    <col min="9496" max="9728" width="9.1796875" style="580"/>
    <col min="9729" max="9729" width="8.81640625" style="580" customWidth="1"/>
    <col min="9730" max="9730" width="60.26953125" style="580" customWidth="1"/>
    <col min="9731" max="9733" width="0" style="580" hidden="1" customWidth="1"/>
    <col min="9734" max="9734" width="11.54296875" style="580" customWidth="1"/>
    <col min="9735" max="9735" width="10.26953125" style="580" customWidth="1"/>
    <col min="9736" max="9736" width="10.453125" style="580" customWidth="1"/>
    <col min="9737" max="9737" width="22.1796875" style="580" customWidth="1"/>
    <col min="9738" max="9740" width="0" style="580" hidden="1" customWidth="1"/>
    <col min="9741" max="9751" width="9.1796875" style="580" customWidth="1"/>
    <col min="9752" max="9984" width="9.1796875" style="580"/>
    <col min="9985" max="9985" width="8.81640625" style="580" customWidth="1"/>
    <col min="9986" max="9986" width="60.26953125" style="580" customWidth="1"/>
    <col min="9987" max="9989" width="0" style="580" hidden="1" customWidth="1"/>
    <col min="9990" max="9990" width="11.54296875" style="580" customWidth="1"/>
    <col min="9991" max="9991" width="10.26953125" style="580" customWidth="1"/>
    <col min="9992" max="9992" width="10.453125" style="580" customWidth="1"/>
    <col min="9993" max="9993" width="22.1796875" style="580" customWidth="1"/>
    <col min="9994" max="9996" width="0" style="580" hidden="1" customWidth="1"/>
    <col min="9997" max="10007" width="9.1796875" style="580" customWidth="1"/>
    <col min="10008" max="10240" width="9.1796875" style="580"/>
    <col min="10241" max="10241" width="8.81640625" style="580" customWidth="1"/>
    <col min="10242" max="10242" width="60.26953125" style="580" customWidth="1"/>
    <col min="10243" max="10245" width="0" style="580" hidden="1" customWidth="1"/>
    <col min="10246" max="10246" width="11.54296875" style="580" customWidth="1"/>
    <col min="10247" max="10247" width="10.26953125" style="580" customWidth="1"/>
    <col min="10248" max="10248" width="10.453125" style="580" customWidth="1"/>
    <col min="10249" max="10249" width="22.1796875" style="580" customWidth="1"/>
    <col min="10250" max="10252" width="0" style="580" hidden="1" customWidth="1"/>
    <col min="10253" max="10263" width="9.1796875" style="580" customWidth="1"/>
    <col min="10264" max="10496" width="9.1796875" style="580"/>
    <col min="10497" max="10497" width="8.81640625" style="580" customWidth="1"/>
    <col min="10498" max="10498" width="60.26953125" style="580" customWidth="1"/>
    <col min="10499" max="10501" width="0" style="580" hidden="1" customWidth="1"/>
    <col min="10502" max="10502" width="11.54296875" style="580" customWidth="1"/>
    <col min="10503" max="10503" width="10.26953125" style="580" customWidth="1"/>
    <col min="10504" max="10504" width="10.453125" style="580" customWidth="1"/>
    <col min="10505" max="10505" width="22.1796875" style="580" customWidth="1"/>
    <col min="10506" max="10508" width="0" style="580" hidden="1" customWidth="1"/>
    <col min="10509" max="10519" width="9.1796875" style="580" customWidth="1"/>
    <col min="10520" max="10752" width="9.1796875" style="580"/>
    <col min="10753" max="10753" width="8.81640625" style="580" customWidth="1"/>
    <col min="10754" max="10754" width="60.26953125" style="580" customWidth="1"/>
    <col min="10755" max="10757" width="0" style="580" hidden="1" customWidth="1"/>
    <col min="10758" max="10758" width="11.54296875" style="580" customWidth="1"/>
    <col min="10759" max="10759" width="10.26953125" style="580" customWidth="1"/>
    <col min="10760" max="10760" width="10.453125" style="580" customWidth="1"/>
    <col min="10761" max="10761" width="22.1796875" style="580" customWidth="1"/>
    <col min="10762" max="10764" width="0" style="580" hidden="1" customWidth="1"/>
    <col min="10765" max="10775" width="9.1796875" style="580" customWidth="1"/>
    <col min="10776" max="11008" width="9.1796875" style="580"/>
    <col min="11009" max="11009" width="8.81640625" style="580" customWidth="1"/>
    <col min="11010" max="11010" width="60.26953125" style="580" customWidth="1"/>
    <col min="11011" max="11013" width="0" style="580" hidden="1" customWidth="1"/>
    <col min="11014" max="11014" width="11.54296875" style="580" customWidth="1"/>
    <col min="11015" max="11015" width="10.26953125" style="580" customWidth="1"/>
    <col min="11016" max="11016" width="10.453125" style="580" customWidth="1"/>
    <col min="11017" max="11017" width="22.1796875" style="580" customWidth="1"/>
    <col min="11018" max="11020" width="0" style="580" hidden="1" customWidth="1"/>
    <col min="11021" max="11031" width="9.1796875" style="580" customWidth="1"/>
    <col min="11032" max="11264" width="9.1796875" style="580"/>
    <col min="11265" max="11265" width="8.81640625" style="580" customWidth="1"/>
    <col min="11266" max="11266" width="60.26953125" style="580" customWidth="1"/>
    <col min="11267" max="11269" width="0" style="580" hidden="1" customWidth="1"/>
    <col min="11270" max="11270" width="11.54296875" style="580" customWidth="1"/>
    <col min="11271" max="11271" width="10.26953125" style="580" customWidth="1"/>
    <col min="11272" max="11272" width="10.453125" style="580" customWidth="1"/>
    <col min="11273" max="11273" width="22.1796875" style="580" customWidth="1"/>
    <col min="11274" max="11276" width="0" style="580" hidden="1" customWidth="1"/>
    <col min="11277" max="11287" width="9.1796875" style="580" customWidth="1"/>
    <col min="11288" max="11520" width="9.1796875" style="580"/>
    <col min="11521" max="11521" width="8.81640625" style="580" customWidth="1"/>
    <col min="11522" max="11522" width="60.26953125" style="580" customWidth="1"/>
    <col min="11523" max="11525" width="0" style="580" hidden="1" customWidth="1"/>
    <col min="11526" max="11526" width="11.54296875" style="580" customWidth="1"/>
    <col min="11527" max="11527" width="10.26953125" style="580" customWidth="1"/>
    <col min="11528" max="11528" width="10.453125" style="580" customWidth="1"/>
    <col min="11529" max="11529" width="22.1796875" style="580" customWidth="1"/>
    <col min="11530" max="11532" width="0" style="580" hidden="1" customWidth="1"/>
    <col min="11533" max="11543" width="9.1796875" style="580" customWidth="1"/>
    <col min="11544" max="11776" width="9.1796875" style="580"/>
    <col min="11777" max="11777" width="8.81640625" style="580" customWidth="1"/>
    <col min="11778" max="11778" width="60.26953125" style="580" customWidth="1"/>
    <col min="11779" max="11781" width="0" style="580" hidden="1" customWidth="1"/>
    <col min="11782" max="11782" width="11.54296875" style="580" customWidth="1"/>
    <col min="11783" max="11783" width="10.26953125" style="580" customWidth="1"/>
    <col min="11784" max="11784" width="10.453125" style="580" customWidth="1"/>
    <col min="11785" max="11785" width="22.1796875" style="580" customWidth="1"/>
    <col min="11786" max="11788" width="0" style="580" hidden="1" customWidth="1"/>
    <col min="11789" max="11799" width="9.1796875" style="580" customWidth="1"/>
    <col min="11800" max="12032" width="9.1796875" style="580"/>
    <col min="12033" max="12033" width="8.81640625" style="580" customWidth="1"/>
    <col min="12034" max="12034" width="60.26953125" style="580" customWidth="1"/>
    <col min="12035" max="12037" width="0" style="580" hidden="1" customWidth="1"/>
    <col min="12038" max="12038" width="11.54296875" style="580" customWidth="1"/>
    <col min="12039" max="12039" width="10.26953125" style="580" customWidth="1"/>
    <col min="12040" max="12040" width="10.453125" style="580" customWidth="1"/>
    <col min="12041" max="12041" width="22.1796875" style="580" customWidth="1"/>
    <col min="12042" max="12044" width="0" style="580" hidden="1" customWidth="1"/>
    <col min="12045" max="12055" width="9.1796875" style="580" customWidth="1"/>
    <col min="12056" max="12288" width="9.1796875" style="580"/>
    <col min="12289" max="12289" width="8.81640625" style="580" customWidth="1"/>
    <col min="12290" max="12290" width="60.26953125" style="580" customWidth="1"/>
    <col min="12291" max="12293" width="0" style="580" hidden="1" customWidth="1"/>
    <col min="12294" max="12294" width="11.54296875" style="580" customWidth="1"/>
    <col min="12295" max="12295" width="10.26953125" style="580" customWidth="1"/>
    <col min="12296" max="12296" width="10.453125" style="580" customWidth="1"/>
    <col min="12297" max="12297" width="22.1796875" style="580" customWidth="1"/>
    <col min="12298" max="12300" width="0" style="580" hidden="1" customWidth="1"/>
    <col min="12301" max="12311" width="9.1796875" style="580" customWidth="1"/>
    <col min="12312" max="12544" width="9.1796875" style="580"/>
    <col min="12545" max="12545" width="8.81640625" style="580" customWidth="1"/>
    <col min="12546" max="12546" width="60.26953125" style="580" customWidth="1"/>
    <col min="12547" max="12549" width="0" style="580" hidden="1" customWidth="1"/>
    <col min="12550" max="12550" width="11.54296875" style="580" customWidth="1"/>
    <col min="12551" max="12551" width="10.26953125" style="580" customWidth="1"/>
    <col min="12552" max="12552" width="10.453125" style="580" customWidth="1"/>
    <col min="12553" max="12553" width="22.1796875" style="580" customWidth="1"/>
    <col min="12554" max="12556" width="0" style="580" hidden="1" customWidth="1"/>
    <col min="12557" max="12567" width="9.1796875" style="580" customWidth="1"/>
    <col min="12568" max="12800" width="9.1796875" style="580"/>
    <col min="12801" max="12801" width="8.81640625" style="580" customWidth="1"/>
    <col min="12802" max="12802" width="60.26953125" style="580" customWidth="1"/>
    <col min="12803" max="12805" width="0" style="580" hidden="1" customWidth="1"/>
    <col min="12806" max="12806" width="11.54296875" style="580" customWidth="1"/>
    <col min="12807" max="12807" width="10.26953125" style="580" customWidth="1"/>
    <col min="12808" max="12808" width="10.453125" style="580" customWidth="1"/>
    <col min="12809" max="12809" width="22.1796875" style="580" customWidth="1"/>
    <col min="12810" max="12812" width="0" style="580" hidden="1" customWidth="1"/>
    <col min="12813" max="12823" width="9.1796875" style="580" customWidth="1"/>
    <col min="12824" max="13056" width="9.1796875" style="580"/>
    <col min="13057" max="13057" width="8.81640625" style="580" customWidth="1"/>
    <col min="13058" max="13058" width="60.26953125" style="580" customWidth="1"/>
    <col min="13059" max="13061" width="0" style="580" hidden="1" customWidth="1"/>
    <col min="13062" max="13062" width="11.54296875" style="580" customWidth="1"/>
    <col min="13063" max="13063" width="10.26953125" style="580" customWidth="1"/>
    <col min="13064" max="13064" width="10.453125" style="580" customWidth="1"/>
    <col min="13065" max="13065" width="22.1796875" style="580" customWidth="1"/>
    <col min="13066" max="13068" width="0" style="580" hidden="1" customWidth="1"/>
    <col min="13069" max="13079" width="9.1796875" style="580" customWidth="1"/>
    <col min="13080" max="13312" width="9.1796875" style="580"/>
    <col min="13313" max="13313" width="8.81640625" style="580" customWidth="1"/>
    <col min="13314" max="13314" width="60.26953125" style="580" customWidth="1"/>
    <col min="13315" max="13317" width="0" style="580" hidden="1" customWidth="1"/>
    <col min="13318" max="13318" width="11.54296875" style="580" customWidth="1"/>
    <col min="13319" max="13319" width="10.26953125" style="580" customWidth="1"/>
    <col min="13320" max="13320" width="10.453125" style="580" customWidth="1"/>
    <col min="13321" max="13321" width="22.1796875" style="580" customWidth="1"/>
    <col min="13322" max="13324" width="0" style="580" hidden="1" customWidth="1"/>
    <col min="13325" max="13335" width="9.1796875" style="580" customWidth="1"/>
    <col min="13336" max="13568" width="9.1796875" style="580"/>
    <col min="13569" max="13569" width="8.81640625" style="580" customWidth="1"/>
    <col min="13570" max="13570" width="60.26953125" style="580" customWidth="1"/>
    <col min="13571" max="13573" width="0" style="580" hidden="1" customWidth="1"/>
    <col min="13574" max="13574" width="11.54296875" style="580" customWidth="1"/>
    <col min="13575" max="13575" width="10.26953125" style="580" customWidth="1"/>
    <col min="13576" max="13576" width="10.453125" style="580" customWidth="1"/>
    <col min="13577" max="13577" width="22.1796875" style="580" customWidth="1"/>
    <col min="13578" max="13580" width="0" style="580" hidden="1" customWidth="1"/>
    <col min="13581" max="13591" width="9.1796875" style="580" customWidth="1"/>
    <col min="13592" max="13824" width="9.1796875" style="580"/>
    <col min="13825" max="13825" width="8.81640625" style="580" customWidth="1"/>
    <col min="13826" max="13826" width="60.26953125" style="580" customWidth="1"/>
    <col min="13827" max="13829" width="0" style="580" hidden="1" customWidth="1"/>
    <col min="13830" max="13830" width="11.54296875" style="580" customWidth="1"/>
    <col min="13831" max="13831" width="10.26953125" style="580" customWidth="1"/>
    <col min="13832" max="13832" width="10.453125" style="580" customWidth="1"/>
    <col min="13833" max="13833" width="22.1796875" style="580" customWidth="1"/>
    <col min="13834" max="13836" width="0" style="580" hidden="1" customWidth="1"/>
    <col min="13837" max="13847" width="9.1796875" style="580" customWidth="1"/>
    <col min="13848" max="14080" width="9.1796875" style="580"/>
    <col min="14081" max="14081" width="8.81640625" style="580" customWidth="1"/>
    <col min="14082" max="14082" width="60.26953125" style="580" customWidth="1"/>
    <col min="14083" max="14085" width="0" style="580" hidden="1" customWidth="1"/>
    <col min="14086" max="14086" width="11.54296875" style="580" customWidth="1"/>
    <col min="14087" max="14087" width="10.26953125" style="580" customWidth="1"/>
    <col min="14088" max="14088" width="10.453125" style="580" customWidth="1"/>
    <col min="14089" max="14089" width="22.1796875" style="580" customWidth="1"/>
    <col min="14090" max="14092" width="0" style="580" hidden="1" customWidth="1"/>
    <col min="14093" max="14103" width="9.1796875" style="580" customWidth="1"/>
    <col min="14104" max="14336" width="9.1796875" style="580"/>
    <col min="14337" max="14337" width="8.81640625" style="580" customWidth="1"/>
    <col min="14338" max="14338" width="60.26953125" style="580" customWidth="1"/>
    <col min="14339" max="14341" width="0" style="580" hidden="1" customWidth="1"/>
    <col min="14342" max="14342" width="11.54296875" style="580" customWidth="1"/>
    <col min="14343" max="14343" width="10.26953125" style="580" customWidth="1"/>
    <col min="14344" max="14344" width="10.453125" style="580" customWidth="1"/>
    <col min="14345" max="14345" width="22.1796875" style="580" customWidth="1"/>
    <col min="14346" max="14348" width="0" style="580" hidden="1" customWidth="1"/>
    <col min="14349" max="14359" width="9.1796875" style="580" customWidth="1"/>
    <col min="14360" max="14592" width="9.1796875" style="580"/>
    <col min="14593" max="14593" width="8.81640625" style="580" customWidth="1"/>
    <col min="14594" max="14594" width="60.26953125" style="580" customWidth="1"/>
    <col min="14595" max="14597" width="0" style="580" hidden="1" customWidth="1"/>
    <col min="14598" max="14598" width="11.54296875" style="580" customWidth="1"/>
    <col min="14599" max="14599" width="10.26953125" style="580" customWidth="1"/>
    <col min="14600" max="14600" width="10.453125" style="580" customWidth="1"/>
    <col min="14601" max="14601" width="22.1796875" style="580" customWidth="1"/>
    <col min="14602" max="14604" width="0" style="580" hidden="1" customWidth="1"/>
    <col min="14605" max="14615" width="9.1796875" style="580" customWidth="1"/>
    <col min="14616" max="14848" width="9.1796875" style="580"/>
    <col min="14849" max="14849" width="8.81640625" style="580" customWidth="1"/>
    <col min="14850" max="14850" width="60.26953125" style="580" customWidth="1"/>
    <col min="14851" max="14853" width="0" style="580" hidden="1" customWidth="1"/>
    <col min="14854" max="14854" width="11.54296875" style="580" customWidth="1"/>
    <col min="14855" max="14855" width="10.26953125" style="580" customWidth="1"/>
    <col min="14856" max="14856" width="10.453125" style="580" customWidth="1"/>
    <col min="14857" max="14857" width="22.1796875" style="580" customWidth="1"/>
    <col min="14858" max="14860" width="0" style="580" hidden="1" customWidth="1"/>
    <col min="14861" max="14871" width="9.1796875" style="580" customWidth="1"/>
    <col min="14872" max="15104" width="9.1796875" style="580"/>
    <col min="15105" max="15105" width="8.81640625" style="580" customWidth="1"/>
    <col min="15106" max="15106" width="60.26953125" style="580" customWidth="1"/>
    <col min="15107" max="15109" width="0" style="580" hidden="1" customWidth="1"/>
    <col min="15110" max="15110" width="11.54296875" style="580" customWidth="1"/>
    <col min="15111" max="15111" width="10.26953125" style="580" customWidth="1"/>
    <col min="15112" max="15112" width="10.453125" style="580" customWidth="1"/>
    <col min="15113" max="15113" width="22.1796875" style="580" customWidth="1"/>
    <col min="15114" max="15116" width="0" style="580" hidden="1" customWidth="1"/>
    <col min="15117" max="15127" width="9.1796875" style="580" customWidth="1"/>
    <col min="15128" max="15360" width="9.1796875" style="580"/>
    <col min="15361" max="15361" width="8.81640625" style="580" customWidth="1"/>
    <col min="15362" max="15362" width="60.26953125" style="580" customWidth="1"/>
    <col min="15363" max="15365" width="0" style="580" hidden="1" customWidth="1"/>
    <col min="15366" max="15366" width="11.54296875" style="580" customWidth="1"/>
    <col min="15367" max="15367" width="10.26953125" style="580" customWidth="1"/>
    <col min="15368" max="15368" width="10.453125" style="580" customWidth="1"/>
    <col min="15369" max="15369" width="22.1796875" style="580" customWidth="1"/>
    <col min="15370" max="15372" width="0" style="580" hidden="1" customWidth="1"/>
    <col min="15373" max="15383" width="9.1796875" style="580" customWidth="1"/>
    <col min="15384" max="15616" width="9.1796875" style="580"/>
    <col min="15617" max="15617" width="8.81640625" style="580" customWidth="1"/>
    <col min="15618" max="15618" width="60.26953125" style="580" customWidth="1"/>
    <col min="15619" max="15621" width="0" style="580" hidden="1" customWidth="1"/>
    <col min="15622" max="15622" width="11.54296875" style="580" customWidth="1"/>
    <col min="15623" max="15623" width="10.26953125" style="580" customWidth="1"/>
    <col min="15624" max="15624" width="10.453125" style="580" customWidth="1"/>
    <col min="15625" max="15625" width="22.1796875" style="580" customWidth="1"/>
    <col min="15626" max="15628" width="0" style="580" hidden="1" customWidth="1"/>
    <col min="15629" max="15639" width="9.1796875" style="580" customWidth="1"/>
    <col min="15640" max="15872" width="9.1796875" style="580"/>
    <col min="15873" max="15873" width="8.81640625" style="580" customWidth="1"/>
    <col min="15874" max="15874" width="60.26953125" style="580" customWidth="1"/>
    <col min="15875" max="15877" width="0" style="580" hidden="1" customWidth="1"/>
    <col min="15878" max="15878" width="11.54296875" style="580" customWidth="1"/>
    <col min="15879" max="15879" width="10.26953125" style="580" customWidth="1"/>
    <col min="15880" max="15880" width="10.453125" style="580" customWidth="1"/>
    <col min="15881" max="15881" width="22.1796875" style="580" customWidth="1"/>
    <col min="15882" max="15884" width="0" style="580" hidden="1" customWidth="1"/>
    <col min="15885" max="15895" width="9.1796875" style="580" customWidth="1"/>
    <col min="15896" max="16128" width="9.1796875" style="580"/>
    <col min="16129" max="16129" width="8.81640625" style="580" customWidth="1"/>
    <col min="16130" max="16130" width="60.26953125" style="580" customWidth="1"/>
    <col min="16131" max="16133" width="0" style="580" hidden="1" customWidth="1"/>
    <col min="16134" max="16134" width="11.54296875" style="580" customWidth="1"/>
    <col min="16135" max="16135" width="10.26953125" style="580" customWidth="1"/>
    <col min="16136" max="16136" width="10.453125" style="580" customWidth="1"/>
    <col min="16137" max="16137" width="22.1796875" style="580" customWidth="1"/>
    <col min="16138" max="16140" width="0" style="580" hidden="1" customWidth="1"/>
    <col min="16141" max="16151" width="9.1796875" style="580" customWidth="1"/>
    <col min="16152" max="16384" width="9.1796875" style="580"/>
  </cols>
  <sheetData>
    <row r="1" spans="9:9" ht="15.5" hidden="1" x14ac:dyDescent="0.35">
      <c r="I1" s="604" t="s">
        <v>813</v>
      </c>
    </row>
    <row r="2" spans="9:9" ht="15.5" hidden="1" x14ac:dyDescent="0.35">
      <c r="I2" s="604" t="s">
        <v>797</v>
      </c>
    </row>
    <row r="3" spans="9:9" ht="15.5" hidden="1" x14ac:dyDescent="0.35">
      <c r="I3" s="604" t="s">
        <v>449</v>
      </c>
    </row>
    <row r="4" spans="9:9" ht="15.5" hidden="1" x14ac:dyDescent="0.35">
      <c r="I4" s="604" t="s">
        <v>814</v>
      </c>
    </row>
    <row r="5" spans="9:9" ht="15.5" hidden="1" x14ac:dyDescent="0.35">
      <c r="I5" s="254" t="s">
        <v>815</v>
      </c>
    </row>
    <row r="6" spans="9:9" hidden="1" x14ac:dyDescent="0.25"/>
    <row r="7" spans="9:9" ht="15.5" hidden="1" x14ac:dyDescent="0.35">
      <c r="I7" s="445" t="s">
        <v>816</v>
      </c>
    </row>
    <row r="8" spans="9:9" ht="15.5" hidden="1" x14ac:dyDescent="0.35">
      <c r="I8" s="445" t="s">
        <v>450</v>
      </c>
    </row>
    <row r="9" spans="9:9" ht="15.5" hidden="1" x14ac:dyDescent="0.35">
      <c r="I9" s="445" t="s">
        <v>626</v>
      </c>
    </row>
    <row r="10" spans="9:9" ht="15.5" hidden="1" x14ac:dyDescent="0.35">
      <c r="I10" s="445" t="s">
        <v>448</v>
      </c>
    </row>
    <row r="11" spans="9:9" ht="15.5" hidden="1" x14ac:dyDescent="0.25">
      <c r="I11" s="546" t="s">
        <v>817</v>
      </c>
    </row>
    <row r="12" spans="9:9" hidden="1" x14ac:dyDescent="0.25">
      <c r="I12" s="605"/>
    </row>
    <row r="13" spans="9:9" ht="15.5" hidden="1" x14ac:dyDescent="0.25">
      <c r="I13" s="546" t="s">
        <v>446</v>
      </c>
    </row>
    <row r="14" spans="9:9" ht="13" hidden="1" x14ac:dyDescent="0.25">
      <c r="I14" s="558"/>
    </row>
    <row r="15" spans="9:9" ht="15.5" hidden="1" x14ac:dyDescent="0.25">
      <c r="I15" s="546" t="s">
        <v>445</v>
      </c>
    </row>
    <row r="16" spans="9:9" ht="15.5" hidden="1" x14ac:dyDescent="0.25">
      <c r="I16" s="546"/>
    </row>
    <row r="17" spans="1:17" ht="15.5" x14ac:dyDescent="0.35">
      <c r="B17" s="3543" t="s">
        <v>616</v>
      </c>
      <c r="C17" s="3543"/>
      <c r="D17" s="3543"/>
      <c r="E17" s="3543"/>
      <c r="F17" s="3543"/>
      <c r="G17" s="3543"/>
      <c r="H17" s="3543"/>
      <c r="I17" s="3543"/>
      <c r="J17" s="3543"/>
      <c r="K17" s="3543"/>
      <c r="L17" s="3543"/>
      <c r="M17" s="3543"/>
      <c r="N17" s="607"/>
      <c r="O17" s="607"/>
      <c r="P17" s="607"/>
      <c r="Q17" s="607"/>
    </row>
    <row r="18" spans="1:17" ht="15.5" x14ac:dyDescent="0.35">
      <c r="B18" s="3543" t="s">
        <v>450</v>
      </c>
      <c r="C18" s="3543"/>
      <c r="D18" s="3543"/>
      <c r="E18" s="3543"/>
      <c r="F18" s="3543"/>
      <c r="G18" s="3543"/>
      <c r="H18" s="3543"/>
      <c r="I18" s="3543"/>
      <c r="J18" s="3543"/>
      <c r="K18" s="3543"/>
      <c r="L18" s="3543"/>
      <c r="M18" s="3543"/>
      <c r="O18" s="607"/>
      <c r="P18" s="607"/>
      <c r="Q18" s="607"/>
    </row>
    <row r="19" spans="1:17" ht="15.5" x14ac:dyDescent="0.35">
      <c r="B19" s="3543" t="s">
        <v>449</v>
      </c>
      <c r="C19" s="3543"/>
      <c r="D19" s="3543"/>
      <c r="E19" s="3543"/>
      <c r="F19" s="3543"/>
      <c r="G19" s="3543"/>
      <c r="H19" s="3543"/>
      <c r="I19" s="3543"/>
      <c r="J19" s="3543"/>
      <c r="K19" s="3543"/>
      <c r="L19" s="3543"/>
      <c r="M19" s="3543"/>
      <c r="N19" s="607"/>
      <c r="O19" s="607"/>
      <c r="P19" s="607"/>
      <c r="Q19" s="607"/>
    </row>
    <row r="20" spans="1:17" ht="15.5" x14ac:dyDescent="0.35">
      <c r="B20" s="3543" t="s">
        <v>448</v>
      </c>
      <c r="C20" s="3543"/>
      <c r="D20" s="3543"/>
      <c r="E20" s="3543"/>
      <c r="F20" s="3543"/>
      <c r="G20" s="3543"/>
      <c r="H20" s="3543"/>
      <c r="I20" s="3543"/>
      <c r="J20" s="3543"/>
      <c r="K20" s="3543"/>
      <c r="L20" s="3543"/>
      <c r="M20" s="3543"/>
      <c r="N20" s="607"/>
      <c r="O20" s="607"/>
      <c r="P20" s="607"/>
      <c r="Q20" s="607"/>
    </row>
    <row r="21" spans="1:17" ht="15.5" x14ac:dyDescent="0.25">
      <c r="B21" s="1771"/>
      <c r="C21" s="1771"/>
      <c r="D21" s="1771"/>
      <c r="E21" s="1771"/>
      <c r="F21" s="1771"/>
      <c r="G21" s="1771"/>
      <c r="H21" s="3027" t="s">
        <v>991</v>
      </c>
      <c r="I21" s="3027"/>
      <c r="J21" s="3027"/>
      <c r="K21" s="3027"/>
      <c r="L21" s="3027"/>
      <c r="M21" s="3027"/>
      <c r="N21" s="609"/>
      <c r="P21" s="610"/>
      <c r="Q21" s="610"/>
    </row>
    <row r="22" spans="1:17" ht="15.5" x14ac:dyDescent="0.35">
      <c r="L22" s="611"/>
      <c r="M22" s="444"/>
      <c r="N22" s="251"/>
      <c r="O22" s="251"/>
      <c r="P22" s="251"/>
      <c r="Q22" s="251"/>
    </row>
    <row r="23" spans="1:17" ht="15.5" hidden="1" x14ac:dyDescent="0.35">
      <c r="B23" s="3284" t="s">
        <v>446</v>
      </c>
      <c r="C23" s="3284"/>
      <c r="D23" s="3284"/>
      <c r="E23" s="3284"/>
      <c r="F23" s="3284"/>
      <c r="G23" s="3284"/>
      <c r="H23" s="3284"/>
      <c r="I23" s="3284"/>
      <c r="J23" s="3284"/>
      <c r="K23" s="3284"/>
      <c r="L23" s="3284"/>
      <c r="M23" s="3284"/>
      <c r="N23" s="251"/>
      <c r="O23" s="251"/>
      <c r="P23" s="251"/>
      <c r="Q23" s="251"/>
    </row>
    <row r="24" spans="1:17" ht="15.5" hidden="1" x14ac:dyDescent="0.3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5" hidden="1" x14ac:dyDescent="0.35">
      <c r="B25" s="3284" t="s">
        <v>848</v>
      </c>
      <c r="C25" s="3284"/>
      <c r="D25" s="3284"/>
      <c r="E25" s="3284"/>
      <c r="F25" s="3284"/>
      <c r="G25" s="3284"/>
      <c r="H25" s="3284"/>
      <c r="I25" s="3284"/>
      <c r="J25" s="3284"/>
      <c r="K25" s="3284"/>
      <c r="L25" s="3284"/>
      <c r="M25" s="3284"/>
      <c r="N25" s="251"/>
      <c r="O25" s="251"/>
      <c r="P25" s="251"/>
      <c r="Q25" s="251"/>
    </row>
    <row r="26" spans="1:17" ht="15.5" hidden="1" x14ac:dyDescent="0.3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t="13" hidden="1" x14ac:dyDescent="0.3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5" hidden="1" x14ac:dyDescent="0.3">
      <c r="B28" s="3533"/>
      <c r="C28" s="3533"/>
      <c r="D28" s="3533"/>
      <c r="E28" s="3533"/>
      <c r="F28" s="3533"/>
      <c r="G28" s="3533"/>
      <c r="H28" s="3533"/>
      <c r="I28" s="3533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5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35">
      <c r="B30" s="706"/>
    </row>
    <row r="31" spans="1:17" ht="15" x14ac:dyDescent="0.3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" x14ac:dyDescent="0.3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" x14ac:dyDescent="0.3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5" hidden="1" x14ac:dyDescent="0.3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5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 x14ac:dyDescent="0.3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 x14ac:dyDescent="0.3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 x14ac:dyDescent="0.3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 x14ac:dyDescent="0.3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 x14ac:dyDescent="0.3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 x14ac:dyDescent="0.3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 x14ac:dyDescent="0.3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 x14ac:dyDescent="0.3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 x14ac:dyDescent="0.3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 x14ac:dyDescent="0.3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t="13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 x14ac:dyDescent="0.3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 x14ac:dyDescent="0.3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 x14ac:dyDescent="0.3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t="13" hidden="1" x14ac:dyDescent="0.3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 x14ac:dyDescent="0.3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5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t="13" hidden="1" x14ac:dyDescent="0.3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 x14ac:dyDescent="0.3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 x14ac:dyDescent="0.3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t="13" hidden="1" x14ac:dyDescent="0.3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4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t="13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 x14ac:dyDescent="0.3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t="13" hidden="1" x14ac:dyDescent="0.3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t="13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t="13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t="13" hidden="1" x14ac:dyDescent="0.3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t="13" hidden="1" x14ac:dyDescent="0.3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 x14ac:dyDescent="0.3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 x14ac:dyDescent="0.3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 x14ac:dyDescent="0.3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 x14ac:dyDescent="0.3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 x14ac:dyDescent="0.3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 x14ac:dyDescent="0.3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 x14ac:dyDescent="0.3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" hidden="1" x14ac:dyDescent="0.3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5" hidden="1" x14ac:dyDescent="0.3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5" hidden="1" x14ac:dyDescent="0.3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t="13" hidden="1" x14ac:dyDescent="0.3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" hidden="1" x14ac:dyDescent="0.3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 x14ac:dyDescent="0.3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 x14ac:dyDescent="0.3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 x14ac:dyDescent="0.3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 x14ac:dyDescent="0.3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 x14ac:dyDescent="0.3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 x14ac:dyDescent="0.3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 x14ac:dyDescent="0.3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 x14ac:dyDescent="0.3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 x14ac:dyDescent="0.3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t="13" hidden="1" x14ac:dyDescent="0.3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 x14ac:dyDescent="0.3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 x14ac:dyDescent="0.3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t="13" hidden="1" x14ac:dyDescent="0.3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13" hidden="1" x14ac:dyDescent="0.3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 x14ac:dyDescent="0.3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 x14ac:dyDescent="0.3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t="13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52" hidden="1" x14ac:dyDescent="0.3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5" hidden="1" x14ac:dyDescent="0.3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5" hidden="1" x14ac:dyDescent="0.3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52" hidden="1" x14ac:dyDescent="0.3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t="13" hidden="1" x14ac:dyDescent="0.3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t="13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" hidden="1" x14ac:dyDescent="0.3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t="13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5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5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483" t="s">
        <v>20</v>
      </c>
      <c r="H143" s="3484"/>
      <c r="I143" s="3484"/>
      <c r="J143" s="3485"/>
    </row>
    <row r="144" spans="1:10" ht="26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477" t="s">
        <v>17</v>
      </c>
      <c r="H144" s="3478"/>
      <c r="I144" s="3478"/>
      <c r="J144" s="3479"/>
    </row>
    <row r="145" spans="1:10" ht="13" hidden="1" x14ac:dyDescent="0.3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t="13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5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t="13" hidden="1" x14ac:dyDescent="0.3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5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t="13" hidden="1" x14ac:dyDescent="0.3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5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t="13" hidden="1" x14ac:dyDescent="0.3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t="13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4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 x14ac:dyDescent="0.3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 x14ac:dyDescent="0.3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52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 x14ac:dyDescent="0.3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 x14ac:dyDescent="0.3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 x14ac:dyDescent="0.3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5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5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t="13" hidden="1" x14ac:dyDescent="0.3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t="13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t="13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t="13" hidden="1" x14ac:dyDescent="0.3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t="13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t="13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t="13" hidden="1" x14ac:dyDescent="0.3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t="13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52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5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t="13" hidden="1" x14ac:dyDescent="0.3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52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5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t="13" hidden="1" x14ac:dyDescent="0.3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5" x14ac:dyDescent="0.35">
      <c r="I203" s="3534" t="s">
        <v>437</v>
      </c>
      <c r="J203" s="3534"/>
      <c r="K203" s="3534"/>
      <c r="L203" s="3534"/>
      <c r="M203" s="3534"/>
    </row>
    <row r="204" spans="1:13" ht="31.5" x14ac:dyDescent="0.3">
      <c r="A204" s="3531" t="s">
        <v>818</v>
      </c>
      <c r="B204" s="3532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3">
      <c r="A205" s="3526" t="s">
        <v>884</v>
      </c>
      <c r="B205" s="3527"/>
      <c r="C205" s="3527"/>
      <c r="D205" s="3527"/>
      <c r="E205" s="3527"/>
      <c r="F205" s="3527"/>
      <c r="G205" s="3527"/>
      <c r="H205" s="3527"/>
      <c r="I205" s="3527"/>
      <c r="J205" s="3527"/>
      <c r="K205" s="3527"/>
      <c r="L205" s="3527"/>
      <c r="M205" s="3528"/>
    </row>
    <row r="206" spans="1:13" ht="27" customHeight="1" x14ac:dyDescent="0.3">
      <c r="A206" s="3550" t="s">
        <v>875</v>
      </c>
      <c r="B206" s="3551"/>
      <c r="C206" s="952"/>
      <c r="D206" s="952"/>
      <c r="E206" s="952"/>
      <c r="F206" s="3554" t="s">
        <v>876</v>
      </c>
      <c r="G206" s="3539" t="s">
        <v>877</v>
      </c>
      <c r="H206" s="3561">
        <v>2019</v>
      </c>
      <c r="I206" s="3535" t="s">
        <v>879</v>
      </c>
      <c r="J206" s="953"/>
      <c r="K206" s="963"/>
      <c r="L206" s="963"/>
      <c r="M206" s="3537">
        <v>500</v>
      </c>
    </row>
    <row r="207" spans="1:13" ht="27" customHeight="1" x14ac:dyDescent="0.3">
      <c r="A207" s="3552"/>
      <c r="B207" s="3553"/>
      <c r="C207" s="954"/>
      <c r="D207" s="954"/>
      <c r="E207" s="954"/>
      <c r="F207" s="3555"/>
      <c r="G207" s="3540"/>
      <c r="H207" s="3562"/>
      <c r="I207" s="3536"/>
      <c r="J207" s="957">
        <v>500</v>
      </c>
      <c r="K207" s="963"/>
      <c r="L207" s="963"/>
      <c r="M207" s="3538"/>
    </row>
    <row r="208" spans="1:13" ht="13" x14ac:dyDescent="0.3">
      <c r="A208" s="3550" t="s">
        <v>885</v>
      </c>
      <c r="B208" s="3551"/>
      <c r="C208" s="952"/>
      <c r="D208" s="952"/>
      <c r="E208" s="952"/>
      <c r="F208" s="3554" t="s">
        <v>886</v>
      </c>
      <c r="G208" s="3539" t="s">
        <v>877</v>
      </c>
      <c r="H208" s="3539">
        <v>2019</v>
      </c>
      <c r="I208" s="3539" t="s">
        <v>878</v>
      </c>
      <c r="J208" s="1443">
        <v>1700</v>
      </c>
      <c r="K208" s="1444"/>
      <c r="L208" s="1444"/>
      <c r="M208" s="3541">
        <v>3000.703</v>
      </c>
    </row>
    <row r="209" spans="1:13" ht="40.5" customHeight="1" x14ac:dyDescent="0.25">
      <c r="A209" s="3552"/>
      <c r="B209" s="3553"/>
      <c r="C209" s="954"/>
      <c r="D209" s="954"/>
      <c r="E209" s="954"/>
      <c r="F209" s="3555"/>
      <c r="G209" s="3540"/>
      <c r="H209" s="3540"/>
      <c r="I209" s="3540"/>
      <c r="J209" s="957"/>
      <c r="K209" s="1444"/>
      <c r="L209" s="1444"/>
      <c r="M209" s="3542"/>
    </row>
    <row r="210" spans="1:13" ht="37.5" hidden="1" customHeight="1" x14ac:dyDescent="0.25">
      <c r="A210" s="3558" t="s">
        <v>963</v>
      </c>
      <c r="B210" s="3559"/>
      <c r="C210" s="3559"/>
      <c r="D210" s="3559"/>
      <c r="E210" s="3559"/>
      <c r="F210" s="3559"/>
      <c r="G210" s="3559"/>
      <c r="H210" s="3559"/>
      <c r="I210" s="3559"/>
      <c r="J210" s="3559"/>
      <c r="K210" s="3559"/>
      <c r="L210" s="3559"/>
      <c r="M210" s="3560"/>
    </row>
    <row r="211" spans="1:13" ht="40.5" hidden="1" customHeight="1" x14ac:dyDescent="0.25">
      <c r="A211" s="3529" t="s">
        <v>961</v>
      </c>
      <c r="B211" s="3530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 x14ac:dyDescent="0.3">
      <c r="A212" s="3544" t="s">
        <v>820</v>
      </c>
      <c r="B212" s="3545"/>
      <c r="C212" s="3545"/>
      <c r="D212" s="3545"/>
      <c r="E212" s="3545"/>
      <c r="F212" s="3545"/>
      <c r="G212" s="3545"/>
      <c r="H212" s="3545"/>
      <c r="I212" s="3546"/>
      <c r="J212" s="958">
        <v>3497.6120000000001</v>
      </c>
      <c r="K212" s="1448"/>
      <c r="L212" s="1448"/>
      <c r="M212" s="965"/>
    </row>
    <row r="213" spans="1:13" ht="26.25" hidden="1" customHeight="1" x14ac:dyDescent="0.3">
      <c r="A213" s="3547" t="s">
        <v>25</v>
      </c>
      <c r="B213" s="3548"/>
      <c r="C213" s="3548"/>
      <c r="D213" s="3548"/>
      <c r="E213" s="3548"/>
      <c r="F213" s="3548"/>
      <c r="G213" s="3548"/>
      <c r="H213" s="3548"/>
      <c r="I213" s="3548"/>
      <c r="J213" s="3548"/>
      <c r="K213" s="3548"/>
      <c r="L213" s="3548"/>
      <c r="M213" s="3549"/>
    </row>
    <row r="214" spans="1:13" ht="39" hidden="1" x14ac:dyDescent="0.3">
      <c r="A214" s="3550" t="s">
        <v>880</v>
      </c>
      <c r="B214" s="3551"/>
      <c r="C214" s="959"/>
      <c r="D214" s="959"/>
      <c r="E214" s="959"/>
      <c r="F214" s="3556" t="s">
        <v>881</v>
      </c>
      <c r="G214" s="3556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 x14ac:dyDescent="0.3">
      <c r="A215" s="3552"/>
      <c r="B215" s="3553"/>
      <c r="C215" s="954"/>
      <c r="D215" s="954"/>
      <c r="E215" s="954"/>
      <c r="F215" s="3557"/>
      <c r="G215" s="3557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 x14ac:dyDescent="0.3">
      <c r="A216" s="3526" t="s">
        <v>906</v>
      </c>
      <c r="B216" s="3527"/>
      <c r="C216" s="3527"/>
      <c r="D216" s="3527"/>
      <c r="E216" s="3527"/>
      <c r="F216" s="3527"/>
      <c r="G216" s="3527"/>
      <c r="H216" s="3527"/>
      <c r="I216" s="3527"/>
      <c r="J216" s="3527"/>
      <c r="K216" s="3527"/>
      <c r="L216" s="3527"/>
      <c r="M216" s="3528"/>
    </row>
    <row r="217" spans="1:13" ht="50.5" customHeight="1" x14ac:dyDescent="0.3">
      <c r="A217" s="3529" t="s">
        <v>1071</v>
      </c>
      <c r="B217" s="3530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4" x14ac:dyDescent="0.3">
      <c r="A218" s="3544" t="s">
        <v>820</v>
      </c>
      <c r="B218" s="3545"/>
      <c r="C218" s="3545"/>
      <c r="D218" s="3545"/>
      <c r="E218" s="3545"/>
      <c r="F218" s="3545"/>
      <c r="G218" s="3545"/>
      <c r="H218" s="3545"/>
      <c r="I218" s="3546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796875" defaultRowHeight="13" x14ac:dyDescent="0.3"/>
  <cols>
    <col min="1" max="1" width="34.54296875" style="645" customWidth="1"/>
    <col min="2" max="2" width="24.7265625" style="645" customWidth="1"/>
    <col min="3" max="3" width="19.26953125" style="2190" customWidth="1"/>
    <col min="4" max="5" width="14.1796875" style="645" customWidth="1"/>
    <col min="6" max="6" width="17.54296875" style="645" customWidth="1"/>
    <col min="7" max="7" width="17.81640625" style="645" customWidth="1"/>
    <col min="8" max="8" width="14.54296875" style="645" bestFit="1" customWidth="1"/>
    <col min="9" max="9" width="12.453125" style="645" bestFit="1" customWidth="1"/>
    <col min="10" max="10" width="14.54296875" style="645" bestFit="1" customWidth="1"/>
    <col min="11" max="256" width="9.1796875" style="645"/>
    <col min="257" max="257" width="34.54296875" style="645" customWidth="1"/>
    <col min="258" max="258" width="24.7265625" style="645" customWidth="1"/>
    <col min="259" max="259" width="19.26953125" style="645" customWidth="1"/>
    <col min="260" max="261" width="14.1796875" style="645" customWidth="1"/>
    <col min="262" max="262" width="17.54296875" style="645" customWidth="1"/>
    <col min="263" max="263" width="17.81640625" style="645" customWidth="1"/>
    <col min="264" max="264" width="14.54296875" style="645" bestFit="1" customWidth="1"/>
    <col min="265" max="265" width="12.453125" style="645" bestFit="1" customWidth="1"/>
    <col min="266" max="266" width="14.54296875" style="645" bestFit="1" customWidth="1"/>
    <col min="267" max="512" width="9.1796875" style="645"/>
    <col min="513" max="513" width="34.54296875" style="645" customWidth="1"/>
    <col min="514" max="514" width="24.7265625" style="645" customWidth="1"/>
    <col min="515" max="515" width="19.26953125" style="645" customWidth="1"/>
    <col min="516" max="517" width="14.1796875" style="645" customWidth="1"/>
    <col min="518" max="518" width="17.54296875" style="645" customWidth="1"/>
    <col min="519" max="519" width="17.81640625" style="645" customWidth="1"/>
    <col min="520" max="520" width="14.54296875" style="645" bestFit="1" customWidth="1"/>
    <col min="521" max="521" width="12.453125" style="645" bestFit="1" customWidth="1"/>
    <col min="522" max="522" width="14.54296875" style="645" bestFit="1" customWidth="1"/>
    <col min="523" max="768" width="9.1796875" style="645"/>
    <col min="769" max="769" width="34.54296875" style="645" customWidth="1"/>
    <col min="770" max="770" width="24.7265625" style="645" customWidth="1"/>
    <col min="771" max="771" width="19.26953125" style="645" customWidth="1"/>
    <col min="772" max="773" width="14.1796875" style="645" customWidth="1"/>
    <col min="774" max="774" width="17.54296875" style="645" customWidth="1"/>
    <col min="775" max="775" width="17.81640625" style="645" customWidth="1"/>
    <col min="776" max="776" width="14.54296875" style="645" bestFit="1" customWidth="1"/>
    <col min="777" max="777" width="12.453125" style="645" bestFit="1" customWidth="1"/>
    <col min="778" max="778" width="14.54296875" style="645" bestFit="1" customWidth="1"/>
    <col min="779" max="1024" width="9.1796875" style="645"/>
    <col min="1025" max="1025" width="34.54296875" style="645" customWidth="1"/>
    <col min="1026" max="1026" width="24.7265625" style="645" customWidth="1"/>
    <col min="1027" max="1027" width="19.26953125" style="645" customWidth="1"/>
    <col min="1028" max="1029" width="14.1796875" style="645" customWidth="1"/>
    <col min="1030" max="1030" width="17.54296875" style="645" customWidth="1"/>
    <col min="1031" max="1031" width="17.81640625" style="645" customWidth="1"/>
    <col min="1032" max="1032" width="14.54296875" style="645" bestFit="1" customWidth="1"/>
    <col min="1033" max="1033" width="12.453125" style="645" bestFit="1" customWidth="1"/>
    <col min="1034" max="1034" width="14.54296875" style="645" bestFit="1" customWidth="1"/>
    <col min="1035" max="1280" width="9.1796875" style="645"/>
    <col min="1281" max="1281" width="34.54296875" style="645" customWidth="1"/>
    <col min="1282" max="1282" width="24.7265625" style="645" customWidth="1"/>
    <col min="1283" max="1283" width="19.26953125" style="645" customWidth="1"/>
    <col min="1284" max="1285" width="14.1796875" style="645" customWidth="1"/>
    <col min="1286" max="1286" width="17.54296875" style="645" customWidth="1"/>
    <col min="1287" max="1287" width="17.81640625" style="645" customWidth="1"/>
    <col min="1288" max="1288" width="14.54296875" style="645" bestFit="1" customWidth="1"/>
    <col min="1289" max="1289" width="12.453125" style="645" bestFit="1" customWidth="1"/>
    <col min="1290" max="1290" width="14.54296875" style="645" bestFit="1" customWidth="1"/>
    <col min="1291" max="1536" width="9.1796875" style="645"/>
    <col min="1537" max="1537" width="34.54296875" style="645" customWidth="1"/>
    <col min="1538" max="1538" width="24.7265625" style="645" customWidth="1"/>
    <col min="1539" max="1539" width="19.26953125" style="645" customWidth="1"/>
    <col min="1540" max="1541" width="14.1796875" style="645" customWidth="1"/>
    <col min="1542" max="1542" width="17.54296875" style="645" customWidth="1"/>
    <col min="1543" max="1543" width="17.81640625" style="645" customWidth="1"/>
    <col min="1544" max="1544" width="14.54296875" style="645" bestFit="1" customWidth="1"/>
    <col min="1545" max="1545" width="12.453125" style="645" bestFit="1" customWidth="1"/>
    <col min="1546" max="1546" width="14.54296875" style="645" bestFit="1" customWidth="1"/>
    <col min="1547" max="1792" width="9.1796875" style="645"/>
    <col min="1793" max="1793" width="34.54296875" style="645" customWidth="1"/>
    <col min="1794" max="1794" width="24.7265625" style="645" customWidth="1"/>
    <col min="1795" max="1795" width="19.26953125" style="645" customWidth="1"/>
    <col min="1796" max="1797" width="14.1796875" style="645" customWidth="1"/>
    <col min="1798" max="1798" width="17.54296875" style="645" customWidth="1"/>
    <col min="1799" max="1799" width="17.81640625" style="645" customWidth="1"/>
    <col min="1800" max="1800" width="14.54296875" style="645" bestFit="1" customWidth="1"/>
    <col min="1801" max="1801" width="12.453125" style="645" bestFit="1" customWidth="1"/>
    <col min="1802" max="1802" width="14.54296875" style="645" bestFit="1" customWidth="1"/>
    <col min="1803" max="2048" width="9.1796875" style="645"/>
    <col min="2049" max="2049" width="34.54296875" style="645" customWidth="1"/>
    <col min="2050" max="2050" width="24.7265625" style="645" customWidth="1"/>
    <col min="2051" max="2051" width="19.26953125" style="645" customWidth="1"/>
    <col min="2052" max="2053" width="14.1796875" style="645" customWidth="1"/>
    <col min="2054" max="2054" width="17.54296875" style="645" customWidth="1"/>
    <col min="2055" max="2055" width="17.81640625" style="645" customWidth="1"/>
    <col min="2056" max="2056" width="14.54296875" style="645" bestFit="1" customWidth="1"/>
    <col min="2057" max="2057" width="12.453125" style="645" bestFit="1" customWidth="1"/>
    <col min="2058" max="2058" width="14.54296875" style="645" bestFit="1" customWidth="1"/>
    <col min="2059" max="2304" width="9.1796875" style="645"/>
    <col min="2305" max="2305" width="34.54296875" style="645" customWidth="1"/>
    <col min="2306" max="2306" width="24.7265625" style="645" customWidth="1"/>
    <col min="2307" max="2307" width="19.26953125" style="645" customWidth="1"/>
    <col min="2308" max="2309" width="14.1796875" style="645" customWidth="1"/>
    <col min="2310" max="2310" width="17.54296875" style="645" customWidth="1"/>
    <col min="2311" max="2311" width="17.81640625" style="645" customWidth="1"/>
    <col min="2312" max="2312" width="14.54296875" style="645" bestFit="1" customWidth="1"/>
    <col min="2313" max="2313" width="12.453125" style="645" bestFit="1" customWidth="1"/>
    <col min="2314" max="2314" width="14.54296875" style="645" bestFit="1" customWidth="1"/>
    <col min="2315" max="2560" width="9.1796875" style="645"/>
    <col min="2561" max="2561" width="34.54296875" style="645" customWidth="1"/>
    <col min="2562" max="2562" width="24.7265625" style="645" customWidth="1"/>
    <col min="2563" max="2563" width="19.26953125" style="645" customWidth="1"/>
    <col min="2564" max="2565" width="14.1796875" style="645" customWidth="1"/>
    <col min="2566" max="2566" width="17.54296875" style="645" customWidth="1"/>
    <col min="2567" max="2567" width="17.81640625" style="645" customWidth="1"/>
    <col min="2568" max="2568" width="14.54296875" style="645" bestFit="1" customWidth="1"/>
    <col min="2569" max="2569" width="12.453125" style="645" bestFit="1" customWidth="1"/>
    <col min="2570" max="2570" width="14.54296875" style="645" bestFit="1" customWidth="1"/>
    <col min="2571" max="2816" width="9.1796875" style="645"/>
    <col min="2817" max="2817" width="34.54296875" style="645" customWidth="1"/>
    <col min="2818" max="2818" width="24.7265625" style="645" customWidth="1"/>
    <col min="2819" max="2819" width="19.26953125" style="645" customWidth="1"/>
    <col min="2820" max="2821" width="14.1796875" style="645" customWidth="1"/>
    <col min="2822" max="2822" width="17.54296875" style="645" customWidth="1"/>
    <col min="2823" max="2823" width="17.81640625" style="645" customWidth="1"/>
    <col min="2824" max="2824" width="14.54296875" style="645" bestFit="1" customWidth="1"/>
    <col min="2825" max="2825" width="12.453125" style="645" bestFit="1" customWidth="1"/>
    <col min="2826" max="2826" width="14.54296875" style="645" bestFit="1" customWidth="1"/>
    <col min="2827" max="3072" width="9.1796875" style="645"/>
    <col min="3073" max="3073" width="34.54296875" style="645" customWidth="1"/>
    <col min="3074" max="3074" width="24.7265625" style="645" customWidth="1"/>
    <col min="3075" max="3075" width="19.26953125" style="645" customWidth="1"/>
    <col min="3076" max="3077" width="14.1796875" style="645" customWidth="1"/>
    <col min="3078" max="3078" width="17.54296875" style="645" customWidth="1"/>
    <col min="3079" max="3079" width="17.81640625" style="645" customWidth="1"/>
    <col min="3080" max="3080" width="14.54296875" style="645" bestFit="1" customWidth="1"/>
    <col min="3081" max="3081" width="12.453125" style="645" bestFit="1" customWidth="1"/>
    <col min="3082" max="3082" width="14.54296875" style="645" bestFit="1" customWidth="1"/>
    <col min="3083" max="3328" width="9.1796875" style="645"/>
    <col min="3329" max="3329" width="34.54296875" style="645" customWidth="1"/>
    <col min="3330" max="3330" width="24.7265625" style="645" customWidth="1"/>
    <col min="3331" max="3331" width="19.26953125" style="645" customWidth="1"/>
    <col min="3332" max="3333" width="14.1796875" style="645" customWidth="1"/>
    <col min="3334" max="3334" width="17.54296875" style="645" customWidth="1"/>
    <col min="3335" max="3335" width="17.81640625" style="645" customWidth="1"/>
    <col min="3336" max="3336" width="14.54296875" style="645" bestFit="1" customWidth="1"/>
    <col min="3337" max="3337" width="12.453125" style="645" bestFit="1" customWidth="1"/>
    <col min="3338" max="3338" width="14.54296875" style="645" bestFit="1" customWidth="1"/>
    <col min="3339" max="3584" width="9.1796875" style="645"/>
    <col min="3585" max="3585" width="34.54296875" style="645" customWidth="1"/>
    <col min="3586" max="3586" width="24.7265625" style="645" customWidth="1"/>
    <col min="3587" max="3587" width="19.26953125" style="645" customWidth="1"/>
    <col min="3588" max="3589" width="14.1796875" style="645" customWidth="1"/>
    <col min="3590" max="3590" width="17.54296875" style="645" customWidth="1"/>
    <col min="3591" max="3591" width="17.81640625" style="645" customWidth="1"/>
    <col min="3592" max="3592" width="14.54296875" style="645" bestFit="1" customWidth="1"/>
    <col min="3593" max="3593" width="12.453125" style="645" bestFit="1" customWidth="1"/>
    <col min="3594" max="3594" width="14.54296875" style="645" bestFit="1" customWidth="1"/>
    <col min="3595" max="3840" width="9.1796875" style="645"/>
    <col min="3841" max="3841" width="34.54296875" style="645" customWidth="1"/>
    <col min="3842" max="3842" width="24.7265625" style="645" customWidth="1"/>
    <col min="3843" max="3843" width="19.26953125" style="645" customWidth="1"/>
    <col min="3844" max="3845" width="14.1796875" style="645" customWidth="1"/>
    <col min="3846" max="3846" width="17.54296875" style="645" customWidth="1"/>
    <col min="3847" max="3847" width="17.81640625" style="645" customWidth="1"/>
    <col min="3848" max="3848" width="14.54296875" style="645" bestFit="1" customWidth="1"/>
    <col min="3849" max="3849" width="12.453125" style="645" bestFit="1" customWidth="1"/>
    <col min="3850" max="3850" width="14.54296875" style="645" bestFit="1" customWidth="1"/>
    <col min="3851" max="4096" width="9.1796875" style="645"/>
    <col min="4097" max="4097" width="34.54296875" style="645" customWidth="1"/>
    <col min="4098" max="4098" width="24.7265625" style="645" customWidth="1"/>
    <col min="4099" max="4099" width="19.26953125" style="645" customWidth="1"/>
    <col min="4100" max="4101" width="14.1796875" style="645" customWidth="1"/>
    <col min="4102" max="4102" width="17.54296875" style="645" customWidth="1"/>
    <col min="4103" max="4103" width="17.81640625" style="645" customWidth="1"/>
    <col min="4104" max="4104" width="14.54296875" style="645" bestFit="1" customWidth="1"/>
    <col min="4105" max="4105" width="12.453125" style="645" bestFit="1" customWidth="1"/>
    <col min="4106" max="4106" width="14.54296875" style="645" bestFit="1" customWidth="1"/>
    <col min="4107" max="4352" width="9.1796875" style="645"/>
    <col min="4353" max="4353" width="34.54296875" style="645" customWidth="1"/>
    <col min="4354" max="4354" width="24.7265625" style="645" customWidth="1"/>
    <col min="4355" max="4355" width="19.26953125" style="645" customWidth="1"/>
    <col min="4356" max="4357" width="14.1796875" style="645" customWidth="1"/>
    <col min="4358" max="4358" width="17.54296875" style="645" customWidth="1"/>
    <col min="4359" max="4359" width="17.81640625" style="645" customWidth="1"/>
    <col min="4360" max="4360" width="14.54296875" style="645" bestFit="1" customWidth="1"/>
    <col min="4361" max="4361" width="12.453125" style="645" bestFit="1" customWidth="1"/>
    <col min="4362" max="4362" width="14.54296875" style="645" bestFit="1" customWidth="1"/>
    <col min="4363" max="4608" width="9.1796875" style="645"/>
    <col min="4609" max="4609" width="34.54296875" style="645" customWidth="1"/>
    <col min="4610" max="4610" width="24.7265625" style="645" customWidth="1"/>
    <col min="4611" max="4611" width="19.26953125" style="645" customWidth="1"/>
    <col min="4612" max="4613" width="14.1796875" style="645" customWidth="1"/>
    <col min="4614" max="4614" width="17.54296875" style="645" customWidth="1"/>
    <col min="4615" max="4615" width="17.81640625" style="645" customWidth="1"/>
    <col min="4616" max="4616" width="14.54296875" style="645" bestFit="1" customWidth="1"/>
    <col min="4617" max="4617" width="12.453125" style="645" bestFit="1" customWidth="1"/>
    <col min="4618" max="4618" width="14.54296875" style="645" bestFit="1" customWidth="1"/>
    <col min="4619" max="4864" width="9.1796875" style="645"/>
    <col min="4865" max="4865" width="34.54296875" style="645" customWidth="1"/>
    <col min="4866" max="4866" width="24.7265625" style="645" customWidth="1"/>
    <col min="4867" max="4867" width="19.26953125" style="645" customWidth="1"/>
    <col min="4868" max="4869" width="14.1796875" style="645" customWidth="1"/>
    <col min="4870" max="4870" width="17.54296875" style="645" customWidth="1"/>
    <col min="4871" max="4871" width="17.81640625" style="645" customWidth="1"/>
    <col min="4872" max="4872" width="14.54296875" style="645" bestFit="1" customWidth="1"/>
    <col min="4873" max="4873" width="12.453125" style="645" bestFit="1" customWidth="1"/>
    <col min="4874" max="4874" width="14.54296875" style="645" bestFit="1" customWidth="1"/>
    <col min="4875" max="5120" width="9.1796875" style="645"/>
    <col min="5121" max="5121" width="34.54296875" style="645" customWidth="1"/>
    <col min="5122" max="5122" width="24.7265625" style="645" customWidth="1"/>
    <col min="5123" max="5123" width="19.26953125" style="645" customWidth="1"/>
    <col min="5124" max="5125" width="14.1796875" style="645" customWidth="1"/>
    <col min="5126" max="5126" width="17.54296875" style="645" customWidth="1"/>
    <col min="5127" max="5127" width="17.81640625" style="645" customWidth="1"/>
    <col min="5128" max="5128" width="14.54296875" style="645" bestFit="1" customWidth="1"/>
    <col min="5129" max="5129" width="12.453125" style="645" bestFit="1" customWidth="1"/>
    <col min="5130" max="5130" width="14.54296875" style="645" bestFit="1" customWidth="1"/>
    <col min="5131" max="5376" width="9.1796875" style="645"/>
    <col min="5377" max="5377" width="34.54296875" style="645" customWidth="1"/>
    <col min="5378" max="5378" width="24.7265625" style="645" customWidth="1"/>
    <col min="5379" max="5379" width="19.26953125" style="645" customWidth="1"/>
    <col min="5380" max="5381" width="14.1796875" style="645" customWidth="1"/>
    <col min="5382" max="5382" width="17.54296875" style="645" customWidth="1"/>
    <col min="5383" max="5383" width="17.81640625" style="645" customWidth="1"/>
    <col min="5384" max="5384" width="14.54296875" style="645" bestFit="1" customWidth="1"/>
    <col min="5385" max="5385" width="12.453125" style="645" bestFit="1" customWidth="1"/>
    <col min="5386" max="5386" width="14.54296875" style="645" bestFit="1" customWidth="1"/>
    <col min="5387" max="5632" width="9.1796875" style="645"/>
    <col min="5633" max="5633" width="34.54296875" style="645" customWidth="1"/>
    <col min="5634" max="5634" width="24.7265625" style="645" customWidth="1"/>
    <col min="5635" max="5635" width="19.26953125" style="645" customWidth="1"/>
    <col min="5636" max="5637" width="14.1796875" style="645" customWidth="1"/>
    <col min="5638" max="5638" width="17.54296875" style="645" customWidth="1"/>
    <col min="5639" max="5639" width="17.81640625" style="645" customWidth="1"/>
    <col min="5640" max="5640" width="14.54296875" style="645" bestFit="1" customWidth="1"/>
    <col min="5641" max="5641" width="12.453125" style="645" bestFit="1" customWidth="1"/>
    <col min="5642" max="5642" width="14.54296875" style="645" bestFit="1" customWidth="1"/>
    <col min="5643" max="5888" width="9.1796875" style="645"/>
    <col min="5889" max="5889" width="34.54296875" style="645" customWidth="1"/>
    <col min="5890" max="5890" width="24.7265625" style="645" customWidth="1"/>
    <col min="5891" max="5891" width="19.26953125" style="645" customWidth="1"/>
    <col min="5892" max="5893" width="14.1796875" style="645" customWidth="1"/>
    <col min="5894" max="5894" width="17.54296875" style="645" customWidth="1"/>
    <col min="5895" max="5895" width="17.81640625" style="645" customWidth="1"/>
    <col min="5896" max="5896" width="14.54296875" style="645" bestFit="1" customWidth="1"/>
    <col min="5897" max="5897" width="12.453125" style="645" bestFit="1" customWidth="1"/>
    <col min="5898" max="5898" width="14.54296875" style="645" bestFit="1" customWidth="1"/>
    <col min="5899" max="6144" width="9.1796875" style="645"/>
    <col min="6145" max="6145" width="34.54296875" style="645" customWidth="1"/>
    <col min="6146" max="6146" width="24.7265625" style="645" customWidth="1"/>
    <col min="6147" max="6147" width="19.26953125" style="645" customWidth="1"/>
    <col min="6148" max="6149" width="14.1796875" style="645" customWidth="1"/>
    <col min="6150" max="6150" width="17.54296875" style="645" customWidth="1"/>
    <col min="6151" max="6151" width="17.81640625" style="645" customWidth="1"/>
    <col min="6152" max="6152" width="14.54296875" style="645" bestFit="1" customWidth="1"/>
    <col min="6153" max="6153" width="12.453125" style="645" bestFit="1" customWidth="1"/>
    <col min="6154" max="6154" width="14.54296875" style="645" bestFit="1" customWidth="1"/>
    <col min="6155" max="6400" width="9.1796875" style="645"/>
    <col min="6401" max="6401" width="34.54296875" style="645" customWidth="1"/>
    <col min="6402" max="6402" width="24.7265625" style="645" customWidth="1"/>
    <col min="6403" max="6403" width="19.26953125" style="645" customWidth="1"/>
    <col min="6404" max="6405" width="14.1796875" style="645" customWidth="1"/>
    <col min="6406" max="6406" width="17.54296875" style="645" customWidth="1"/>
    <col min="6407" max="6407" width="17.81640625" style="645" customWidth="1"/>
    <col min="6408" max="6408" width="14.54296875" style="645" bestFit="1" customWidth="1"/>
    <col min="6409" max="6409" width="12.453125" style="645" bestFit="1" customWidth="1"/>
    <col min="6410" max="6410" width="14.54296875" style="645" bestFit="1" customWidth="1"/>
    <col min="6411" max="6656" width="9.1796875" style="645"/>
    <col min="6657" max="6657" width="34.54296875" style="645" customWidth="1"/>
    <col min="6658" max="6658" width="24.7265625" style="645" customWidth="1"/>
    <col min="6659" max="6659" width="19.26953125" style="645" customWidth="1"/>
    <col min="6660" max="6661" width="14.1796875" style="645" customWidth="1"/>
    <col min="6662" max="6662" width="17.54296875" style="645" customWidth="1"/>
    <col min="6663" max="6663" width="17.81640625" style="645" customWidth="1"/>
    <col min="6664" max="6664" width="14.54296875" style="645" bestFit="1" customWidth="1"/>
    <col min="6665" max="6665" width="12.453125" style="645" bestFit="1" customWidth="1"/>
    <col min="6666" max="6666" width="14.54296875" style="645" bestFit="1" customWidth="1"/>
    <col min="6667" max="6912" width="9.1796875" style="645"/>
    <col min="6913" max="6913" width="34.54296875" style="645" customWidth="1"/>
    <col min="6914" max="6914" width="24.7265625" style="645" customWidth="1"/>
    <col min="6915" max="6915" width="19.26953125" style="645" customWidth="1"/>
    <col min="6916" max="6917" width="14.1796875" style="645" customWidth="1"/>
    <col min="6918" max="6918" width="17.54296875" style="645" customWidth="1"/>
    <col min="6919" max="6919" width="17.81640625" style="645" customWidth="1"/>
    <col min="6920" max="6920" width="14.54296875" style="645" bestFit="1" customWidth="1"/>
    <col min="6921" max="6921" width="12.453125" style="645" bestFit="1" customWidth="1"/>
    <col min="6922" max="6922" width="14.54296875" style="645" bestFit="1" customWidth="1"/>
    <col min="6923" max="7168" width="9.1796875" style="645"/>
    <col min="7169" max="7169" width="34.54296875" style="645" customWidth="1"/>
    <col min="7170" max="7170" width="24.7265625" style="645" customWidth="1"/>
    <col min="7171" max="7171" width="19.26953125" style="645" customWidth="1"/>
    <col min="7172" max="7173" width="14.1796875" style="645" customWidth="1"/>
    <col min="7174" max="7174" width="17.54296875" style="645" customWidth="1"/>
    <col min="7175" max="7175" width="17.81640625" style="645" customWidth="1"/>
    <col min="7176" max="7176" width="14.54296875" style="645" bestFit="1" customWidth="1"/>
    <col min="7177" max="7177" width="12.453125" style="645" bestFit="1" customWidth="1"/>
    <col min="7178" max="7178" width="14.54296875" style="645" bestFit="1" customWidth="1"/>
    <col min="7179" max="7424" width="9.1796875" style="645"/>
    <col min="7425" max="7425" width="34.54296875" style="645" customWidth="1"/>
    <col min="7426" max="7426" width="24.7265625" style="645" customWidth="1"/>
    <col min="7427" max="7427" width="19.26953125" style="645" customWidth="1"/>
    <col min="7428" max="7429" width="14.1796875" style="645" customWidth="1"/>
    <col min="7430" max="7430" width="17.54296875" style="645" customWidth="1"/>
    <col min="7431" max="7431" width="17.81640625" style="645" customWidth="1"/>
    <col min="7432" max="7432" width="14.54296875" style="645" bestFit="1" customWidth="1"/>
    <col min="7433" max="7433" width="12.453125" style="645" bestFit="1" customWidth="1"/>
    <col min="7434" max="7434" width="14.54296875" style="645" bestFit="1" customWidth="1"/>
    <col min="7435" max="7680" width="9.1796875" style="645"/>
    <col min="7681" max="7681" width="34.54296875" style="645" customWidth="1"/>
    <col min="7682" max="7682" width="24.7265625" style="645" customWidth="1"/>
    <col min="7683" max="7683" width="19.26953125" style="645" customWidth="1"/>
    <col min="7684" max="7685" width="14.1796875" style="645" customWidth="1"/>
    <col min="7686" max="7686" width="17.54296875" style="645" customWidth="1"/>
    <col min="7687" max="7687" width="17.81640625" style="645" customWidth="1"/>
    <col min="7688" max="7688" width="14.54296875" style="645" bestFit="1" customWidth="1"/>
    <col min="7689" max="7689" width="12.453125" style="645" bestFit="1" customWidth="1"/>
    <col min="7690" max="7690" width="14.54296875" style="645" bestFit="1" customWidth="1"/>
    <col min="7691" max="7936" width="9.1796875" style="645"/>
    <col min="7937" max="7937" width="34.54296875" style="645" customWidth="1"/>
    <col min="7938" max="7938" width="24.7265625" style="645" customWidth="1"/>
    <col min="7939" max="7939" width="19.26953125" style="645" customWidth="1"/>
    <col min="7940" max="7941" width="14.1796875" style="645" customWidth="1"/>
    <col min="7942" max="7942" width="17.54296875" style="645" customWidth="1"/>
    <col min="7943" max="7943" width="17.81640625" style="645" customWidth="1"/>
    <col min="7944" max="7944" width="14.54296875" style="645" bestFit="1" customWidth="1"/>
    <col min="7945" max="7945" width="12.453125" style="645" bestFit="1" customWidth="1"/>
    <col min="7946" max="7946" width="14.54296875" style="645" bestFit="1" customWidth="1"/>
    <col min="7947" max="8192" width="9.1796875" style="645"/>
    <col min="8193" max="8193" width="34.54296875" style="645" customWidth="1"/>
    <col min="8194" max="8194" width="24.7265625" style="645" customWidth="1"/>
    <col min="8195" max="8195" width="19.26953125" style="645" customWidth="1"/>
    <col min="8196" max="8197" width="14.1796875" style="645" customWidth="1"/>
    <col min="8198" max="8198" width="17.54296875" style="645" customWidth="1"/>
    <col min="8199" max="8199" width="17.81640625" style="645" customWidth="1"/>
    <col min="8200" max="8200" width="14.54296875" style="645" bestFit="1" customWidth="1"/>
    <col min="8201" max="8201" width="12.453125" style="645" bestFit="1" customWidth="1"/>
    <col min="8202" max="8202" width="14.54296875" style="645" bestFit="1" customWidth="1"/>
    <col min="8203" max="8448" width="9.1796875" style="645"/>
    <col min="8449" max="8449" width="34.54296875" style="645" customWidth="1"/>
    <col min="8450" max="8450" width="24.7265625" style="645" customWidth="1"/>
    <col min="8451" max="8451" width="19.26953125" style="645" customWidth="1"/>
    <col min="8452" max="8453" width="14.1796875" style="645" customWidth="1"/>
    <col min="8454" max="8454" width="17.54296875" style="645" customWidth="1"/>
    <col min="8455" max="8455" width="17.81640625" style="645" customWidth="1"/>
    <col min="8456" max="8456" width="14.54296875" style="645" bestFit="1" customWidth="1"/>
    <col min="8457" max="8457" width="12.453125" style="645" bestFit="1" customWidth="1"/>
    <col min="8458" max="8458" width="14.54296875" style="645" bestFit="1" customWidth="1"/>
    <col min="8459" max="8704" width="9.1796875" style="645"/>
    <col min="8705" max="8705" width="34.54296875" style="645" customWidth="1"/>
    <col min="8706" max="8706" width="24.7265625" style="645" customWidth="1"/>
    <col min="8707" max="8707" width="19.26953125" style="645" customWidth="1"/>
    <col min="8708" max="8709" width="14.1796875" style="645" customWidth="1"/>
    <col min="8710" max="8710" width="17.54296875" style="645" customWidth="1"/>
    <col min="8711" max="8711" width="17.81640625" style="645" customWidth="1"/>
    <col min="8712" max="8712" width="14.54296875" style="645" bestFit="1" customWidth="1"/>
    <col min="8713" max="8713" width="12.453125" style="645" bestFit="1" customWidth="1"/>
    <col min="8714" max="8714" width="14.54296875" style="645" bestFit="1" customWidth="1"/>
    <col min="8715" max="8960" width="9.1796875" style="645"/>
    <col min="8961" max="8961" width="34.54296875" style="645" customWidth="1"/>
    <col min="8962" max="8962" width="24.7265625" style="645" customWidth="1"/>
    <col min="8963" max="8963" width="19.26953125" style="645" customWidth="1"/>
    <col min="8964" max="8965" width="14.1796875" style="645" customWidth="1"/>
    <col min="8966" max="8966" width="17.54296875" style="645" customWidth="1"/>
    <col min="8967" max="8967" width="17.81640625" style="645" customWidth="1"/>
    <col min="8968" max="8968" width="14.54296875" style="645" bestFit="1" customWidth="1"/>
    <col min="8969" max="8969" width="12.453125" style="645" bestFit="1" customWidth="1"/>
    <col min="8970" max="8970" width="14.54296875" style="645" bestFit="1" customWidth="1"/>
    <col min="8971" max="9216" width="9.1796875" style="645"/>
    <col min="9217" max="9217" width="34.54296875" style="645" customWidth="1"/>
    <col min="9218" max="9218" width="24.7265625" style="645" customWidth="1"/>
    <col min="9219" max="9219" width="19.26953125" style="645" customWidth="1"/>
    <col min="9220" max="9221" width="14.1796875" style="645" customWidth="1"/>
    <col min="9222" max="9222" width="17.54296875" style="645" customWidth="1"/>
    <col min="9223" max="9223" width="17.81640625" style="645" customWidth="1"/>
    <col min="9224" max="9224" width="14.54296875" style="645" bestFit="1" customWidth="1"/>
    <col min="9225" max="9225" width="12.453125" style="645" bestFit="1" customWidth="1"/>
    <col min="9226" max="9226" width="14.54296875" style="645" bestFit="1" customWidth="1"/>
    <col min="9227" max="9472" width="9.1796875" style="645"/>
    <col min="9473" max="9473" width="34.54296875" style="645" customWidth="1"/>
    <col min="9474" max="9474" width="24.7265625" style="645" customWidth="1"/>
    <col min="9475" max="9475" width="19.26953125" style="645" customWidth="1"/>
    <col min="9476" max="9477" width="14.1796875" style="645" customWidth="1"/>
    <col min="9478" max="9478" width="17.54296875" style="645" customWidth="1"/>
    <col min="9479" max="9479" width="17.81640625" style="645" customWidth="1"/>
    <col min="9480" max="9480" width="14.54296875" style="645" bestFit="1" customWidth="1"/>
    <col min="9481" max="9481" width="12.453125" style="645" bestFit="1" customWidth="1"/>
    <col min="9482" max="9482" width="14.54296875" style="645" bestFit="1" customWidth="1"/>
    <col min="9483" max="9728" width="9.1796875" style="645"/>
    <col min="9729" max="9729" width="34.54296875" style="645" customWidth="1"/>
    <col min="9730" max="9730" width="24.7265625" style="645" customWidth="1"/>
    <col min="9731" max="9731" width="19.26953125" style="645" customWidth="1"/>
    <col min="9732" max="9733" width="14.1796875" style="645" customWidth="1"/>
    <col min="9734" max="9734" width="17.54296875" style="645" customWidth="1"/>
    <col min="9735" max="9735" width="17.81640625" style="645" customWidth="1"/>
    <col min="9736" max="9736" width="14.54296875" style="645" bestFit="1" customWidth="1"/>
    <col min="9737" max="9737" width="12.453125" style="645" bestFit="1" customWidth="1"/>
    <col min="9738" max="9738" width="14.54296875" style="645" bestFit="1" customWidth="1"/>
    <col min="9739" max="9984" width="9.1796875" style="645"/>
    <col min="9985" max="9985" width="34.54296875" style="645" customWidth="1"/>
    <col min="9986" max="9986" width="24.7265625" style="645" customWidth="1"/>
    <col min="9987" max="9987" width="19.26953125" style="645" customWidth="1"/>
    <col min="9988" max="9989" width="14.1796875" style="645" customWidth="1"/>
    <col min="9990" max="9990" width="17.54296875" style="645" customWidth="1"/>
    <col min="9991" max="9991" width="17.81640625" style="645" customWidth="1"/>
    <col min="9992" max="9992" width="14.54296875" style="645" bestFit="1" customWidth="1"/>
    <col min="9993" max="9993" width="12.453125" style="645" bestFit="1" customWidth="1"/>
    <col min="9994" max="9994" width="14.54296875" style="645" bestFit="1" customWidth="1"/>
    <col min="9995" max="10240" width="9.1796875" style="645"/>
    <col min="10241" max="10241" width="34.54296875" style="645" customWidth="1"/>
    <col min="10242" max="10242" width="24.7265625" style="645" customWidth="1"/>
    <col min="10243" max="10243" width="19.26953125" style="645" customWidth="1"/>
    <col min="10244" max="10245" width="14.1796875" style="645" customWidth="1"/>
    <col min="10246" max="10246" width="17.54296875" style="645" customWidth="1"/>
    <col min="10247" max="10247" width="17.81640625" style="645" customWidth="1"/>
    <col min="10248" max="10248" width="14.54296875" style="645" bestFit="1" customWidth="1"/>
    <col min="10249" max="10249" width="12.453125" style="645" bestFit="1" customWidth="1"/>
    <col min="10250" max="10250" width="14.54296875" style="645" bestFit="1" customWidth="1"/>
    <col min="10251" max="10496" width="9.1796875" style="645"/>
    <col min="10497" max="10497" width="34.54296875" style="645" customWidth="1"/>
    <col min="10498" max="10498" width="24.7265625" style="645" customWidth="1"/>
    <col min="10499" max="10499" width="19.26953125" style="645" customWidth="1"/>
    <col min="10500" max="10501" width="14.1796875" style="645" customWidth="1"/>
    <col min="10502" max="10502" width="17.54296875" style="645" customWidth="1"/>
    <col min="10503" max="10503" width="17.81640625" style="645" customWidth="1"/>
    <col min="10504" max="10504" width="14.54296875" style="645" bestFit="1" customWidth="1"/>
    <col min="10505" max="10505" width="12.453125" style="645" bestFit="1" customWidth="1"/>
    <col min="10506" max="10506" width="14.54296875" style="645" bestFit="1" customWidth="1"/>
    <col min="10507" max="10752" width="9.1796875" style="645"/>
    <col min="10753" max="10753" width="34.54296875" style="645" customWidth="1"/>
    <col min="10754" max="10754" width="24.7265625" style="645" customWidth="1"/>
    <col min="10755" max="10755" width="19.26953125" style="645" customWidth="1"/>
    <col min="10756" max="10757" width="14.1796875" style="645" customWidth="1"/>
    <col min="10758" max="10758" width="17.54296875" style="645" customWidth="1"/>
    <col min="10759" max="10759" width="17.81640625" style="645" customWidth="1"/>
    <col min="10760" max="10760" width="14.54296875" style="645" bestFit="1" customWidth="1"/>
    <col min="10761" max="10761" width="12.453125" style="645" bestFit="1" customWidth="1"/>
    <col min="10762" max="10762" width="14.54296875" style="645" bestFit="1" customWidth="1"/>
    <col min="10763" max="11008" width="9.1796875" style="645"/>
    <col min="11009" max="11009" width="34.54296875" style="645" customWidth="1"/>
    <col min="11010" max="11010" width="24.7265625" style="645" customWidth="1"/>
    <col min="11011" max="11011" width="19.26953125" style="645" customWidth="1"/>
    <col min="11012" max="11013" width="14.1796875" style="645" customWidth="1"/>
    <col min="11014" max="11014" width="17.54296875" style="645" customWidth="1"/>
    <col min="11015" max="11015" width="17.81640625" style="645" customWidth="1"/>
    <col min="11016" max="11016" width="14.54296875" style="645" bestFit="1" customWidth="1"/>
    <col min="11017" max="11017" width="12.453125" style="645" bestFit="1" customWidth="1"/>
    <col min="11018" max="11018" width="14.54296875" style="645" bestFit="1" customWidth="1"/>
    <col min="11019" max="11264" width="9.1796875" style="645"/>
    <col min="11265" max="11265" width="34.54296875" style="645" customWidth="1"/>
    <col min="11266" max="11266" width="24.7265625" style="645" customWidth="1"/>
    <col min="11267" max="11267" width="19.26953125" style="645" customWidth="1"/>
    <col min="11268" max="11269" width="14.1796875" style="645" customWidth="1"/>
    <col min="11270" max="11270" width="17.54296875" style="645" customWidth="1"/>
    <col min="11271" max="11271" width="17.81640625" style="645" customWidth="1"/>
    <col min="11272" max="11272" width="14.54296875" style="645" bestFit="1" customWidth="1"/>
    <col min="11273" max="11273" width="12.453125" style="645" bestFit="1" customWidth="1"/>
    <col min="11274" max="11274" width="14.54296875" style="645" bestFit="1" customWidth="1"/>
    <col min="11275" max="11520" width="9.1796875" style="645"/>
    <col min="11521" max="11521" width="34.54296875" style="645" customWidth="1"/>
    <col min="11522" max="11522" width="24.7265625" style="645" customWidth="1"/>
    <col min="11523" max="11523" width="19.26953125" style="645" customWidth="1"/>
    <col min="11524" max="11525" width="14.1796875" style="645" customWidth="1"/>
    <col min="11526" max="11526" width="17.54296875" style="645" customWidth="1"/>
    <col min="11527" max="11527" width="17.81640625" style="645" customWidth="1"/>
    <col min="11528" max="11528" width="14.54296875" style="645" bestFit="1" customWidth="1"/>
    <col min="11529" max="11529" width="12.453125" style="645" bestFit="1" customWidth="1"/>
    <col min="11530" max="11530" width="14.54296875" style="645" bestFit="1" customWidth="1"/>
    <col min="11531" max="11776" width="9.1796875" style="645"/>
    <col min="11777" max="11777" width="34.54296875" style="645" customWidth="1"/>
    <col min="11778" max="11778" width="24.7265625" style="645" customWidth="1"/>
    <col min="11779" max="11779" width="19.26953125" style="645" customWidth="1"/>
    <col min="11780" max="11781" width="14.1796875" style="645" customWidth="1"/>
    <col min="11782" max="11782" width="17.54296875" style="645" customWidth="1"/>
    <col min="11783" max="11783" width="17.81640625" style="645" customWidth="1"/>
    <col min="11784" max="11784" width="14.54296875" style="645" bestFit="1" customWidth="1"/>
    <col min="11785" max="11785" width="12.453125" style="645" bestFit="1" customWidth="1"/>
    <col min="11786" max="11786" width="14.54296875" style="645" bestFit="1" customWidth="1"/>
    <col min="11787" max="12032" width="9.1796875" style="645"/>
    <col min="12033" max="12033" width="34.54296875" style="645" customWidth="1"/>
    <col min="12034" max="12034" width="24.7265625" style="645" customWidth="1"/>
    <col min="12035" max="12035" width="19.26953125" style="645" customWidth="1"/>
    <col min="12036" max="12037" width="14.1796875" style="645" customWidth="1"/>
    <col min="12038" max="12038" width="17.54296875" style="645" customWidth="1"/>
    <col min="12039" max="12039" width="17.81640625" style="645" customWidth="1"/>
    <col min="12040" max="12040" width="14.54296875" style="645" bestFit="1" customWidth="1"/>
    <col min="12041" max="12041" width="12.453125" style="645" bestFit="1" customWidth="1"/>
    <col min="12042" max="12042" width="14.54296875" style="645" bestFit="1" customWidth="1"/>
    <col min="12043" max="12288" width="9.1796875" style="645"/>
    <col min="12289" max="12289" width="34.54296875" style="645" customWidth="1"/>
    <col min="12290" max="12290" width="24.7265625" style="645" customWidth="1"/>
    <col min="12291" max="12291" width="19.26953125" style="645" customWidth="1"/>
    <col min="12292" max="12293" width="14.1796875" style="645" customWidth="1"/>
    <col min="12294" max="12294" width="17.54296875" style="645" customWidth="1"/>
    <col min="12295" max="12295" width="17.81640625" style="645" customWidth="1"/>
    <col min="12296" max="12296" width="14.54296875" style="645" bestFit="1" customWidth="1"/>
    <col min="12297" max="12297" width="12.453125" style="645" bestFit="1" customWidth="1"/>
    <col min="12298" max="12298" width="14.54296875" style="645" bestFit="1" customWidth="1"/>
    <col min="12299" max="12544" width="9.1796875" style="645"/>
    <col min="12545" max="12545" width="34.54296875" style="645" customWidth="1"/>
    <col min="12546" max="12546" width="24.7265625" style="645" customWidth="1"/>
    <col min="12547" max="12547" width="19.26953125" style="645" customWidth="1"/>
    <col min="12548" max="12549" width="14.1796875" style="645" customWidth="1"/>
    <col min="12550" max="12550" width="17.54296875" style="645" customWidth="1"/>
    <col min="12551" max="12551" width="17.81640625" style="645" customWidth="1"/>
    <col min="12552" max="12552" width="14.54296875" style="645" bestFit="1" customWidth="1"/>
    <col min="12553" max="12553" width="12.453125" style="645" bestFit="1" customWidth="1"/>
    <col min="12554" max="12554" width="14.54296875" style="645" bestFit="1" customWidth="1"/>
    <col min="12555" max="12800" width="9.1796875" style="645"/>
    <col min="12801" max="12801" width="34.54296875" style="645" customWidth="1"/>
    <col min="12802" max="12802" width="24.7265625" style="645" customWidth="1"/>
    <col min="12803" max="12803" width="19.26953125" style="645" customWidth="1"/>
    <col min="12804" max="12805" width="14.1796875" style="645" customWidth="1"/>
    <col min="12806" max="12806" width="17.54296875" style="645" customWidth="1"/>
    <col min="12807" max="12807" width="17.81640625" style="645" customWidth="1"/>
    <col min="12808" max="12808" width="14.54296875" style="645" bestFit="1" customWidth="1"/>
    <col min="12809" max="12809" width="12.453125" style="645" bestFit="1" customWidth="1"/>
    <col min="12810" max="12810" width="14.54296875" style="645" bestFit="1" customWidth="1"/>
    <col min="12811" max="13056" width="9.1796875" style="645"/>
    <col min="13057" max="13057" width="34.54296875" style="645" customWidth="1"/>
    <col min="13058" max="13058" width="24.7265625" style="645" customWidth="1"/>
    <col min="13059" max="13059" width="19.26953125" style="645" customWidth="1"/>
    <col min="13060" max="13061" width="14.1796875" style="645" customWidth="1"/>
    <col min="13062" max="13062" width="17.54296875" style="645" customWidth="1"/>
    <col min="13063" max="13063" width="17.81640625" style="645" customWidth="1"/>
    <col min="13064" max="13064" width="14.54296875" style="645" bestFit="1" customWidth="1"/>
    <col min="13065" max="13065" width="12.453125" style="645" bestFit="1" customWidth="1"/>
    <col min="13066" max="13066" width="14.54296875" style="645" bestFit="1" customWidth="1"/>
    <col min="13067" max="13312" width="9.1796875" style="645"/>
    <col min="13313" max="13313" width="34.54296875" style="645" customWidth="1"/>
    <col min="13314" max="13314" width="24.7265625" style="645" customWidth="1"/>
    <col min="13315" max="13315" width="19.26953125" style="645" customWidth="1"/>
    <col min="13316" max="13317" width="14.1796875" style="645" customWidth="1"/>
    <col min="13318" max="13318" width="17.54296875" style="645" customWidth="1"/>
    <col min="13319" max="13319" width="17.81640625" style="645" customWidth="1"/>
    <col min="13320" max="13320" width="14.54296875" style="645" bestFit="1" customWidth="1"/>
    <col min="13321" max="13321" width="12.453125" style="645" bestFit="1" customWidth="1"/>
    <col min="13322" max="13322" width="14.54296875" style="645" bestFit="1" customWidth="1"/>
    <col min="13323" max="13568" width="9.1796875" style="645"/>
    <col min="13569" max="13569" width="34.54296875" style="645" customWidth="1"/>
    <col min="13570" max="13570" width="24.7265625" style="645" customWidth="1"/>
    <col min="13571" max="13571" width="19.26953125" style="645" customWidth="1"/>
    <col min="13572" max="13573" width="14.1796875" style="645" customWidth="1"/>
    <col min="13574" max="13574" width="17.54296875" style="645" customWidth="1"/>
    <col min="13575" max="13575" width="17.81640625" style="645" customWidth="1"/>
    <col min="13576" max="13576" width="14.54296875" style="645" bestFit="1" customWidth="1"/>
    <col min="13577" max="13577" width="12.453125" style="645" bestFit="1" customWidth="1"/>
    <col min="13578" max="13578" width="14.54296875" style="645" bestFit="1" customWidth="1"/>
    <col min="13579" max="13824" width="9.1796875" style="645"/>
    <col min="13825" max="13825" width="34.54296875" style="645" customWidth="1"/>
    <col min="13826" max="13826" width="24.7265625" style="645" customWidth="1"/>
    <col min="13827" max="13827" width="19.26953125" style="645" customWidth="1"/>
    <col min="13828" max="13829" width="14.1796875" style="645" customWidth="1"/>
    <col min="13830" max="13830" width="17.54296875" style="645" customWidth="1"/>
    <col min="13831" max="13831" width="17.81640625" style="645" customWidth="1"/>
    <col min="13832" max="13832" width="14.54296875" style="645" bestFit="1" customWidth="1"/>
    <col min="13833" max="13833" width="12.453125" style="645" bestFit="1" customWidth="1"/>
    <col min="13834" max="13834" width="14.54296875" style="645" bestFit="1" customWidth="1"/>
    <col min="13835" max="14080" width="9.1796875" style="645"/>
    <col min="14081" max="14081" width="34.54296875" style="645" customWidth="1"/>
    <col min="14082" max="14082" width="24.7265625" style="645" customWidth="1"/>
    <col min="14083" max="14083" width="19.26953125" style="645" customWidth="1"/>
    <col min="14084" max="14085" width="14.1796875" style="645" customWidth="1"/>
    <col min="14086" max="14086" width="17.54296875" style="645" customWidth="1"/>
    <col min="14087" max="14087" width="17.81640625" style="645" customWidth="1"/>
    <col min="14088" max="14088" width="14.54296875" style="645" bestFit="1" customWidth="1"/>
    <col min="14089" max="14089" width="12.453125" style="645" bestFit="1" customWidth="1"/>
    <col min="14090" max="14090" width="14.54296875" style="645" bestFit="1" customWidth="1"/>
    <col min="14091" max="14336" width="9.1796875" style="645"/>
    <col min="14337" max="14337" width="34.54296875" style="645" customWidth="1"/>
    <col min="14338" max="14338" width="24.7265625" style="645" customWidth="1"/>
    <col min="14339" max="14339" width="19.26953125" style="645" customWidth="1"/>
    <col min="14340" max="14341" width="14.1796875" style="645" customWidth="1"/>
    <col min="14342" max="14342" width="17.54296875" style="645" customWidth="1"/>
    <col min="14343" max="14343" width="17.81640625" style="645" customWidth="1"/>
    <col min="14344" max="14344" width="14.54296875" style="645" bestFit="1" customWidth="1"/>
    <col min="14345" max="14345" width="12.453125" style="645" bestFit="1" customWidth="1"/>
    <col min="14346" max="14346" width="14.54296875" style="645" bestFit="1" customWidth="1"/>
    <col min="14347" max="14592" width="9.1796875" style="645"/>
    <col min="14593" max="14593" width="34.54296875" style="645" customWidth="1"/>
    <col min="14594" max="14594" width="24.7265625" style="645" customWidth="1"/>
    <col min="14595" max="14595" width="19.26953125" style="645" customWidth="1"/>
    <col min="14596" max="14597" width="14.1796875" style="645" customWidth="1"/>
    <col min="14598" max="14598" width="17.54296875" style="645" customWidth="1"/>
    <col min="14599" max="14599" width="17.81640625" style="645" customWidth="1"/>
    <col min="14600" max="14600" width="14.54296875" style="645" bestFit="1" customWidth="1"/>
    <col min="14601" max="14601" width="12.453125" style="645" bestFit="1" customWidth="1"/>
    <col min="14602" max="14602" width="14.54296875" style="645" bestFit="1" customWidth="1"/>
    <col min="14603" max="14848" width="9.1796875" style="645"/>
    <col min="14849" max="14849" width="34.54296875" style="645" customWidth="1"/>
    <col min="14850" max="14850" width="24.7265625" style="645" customWidth="1"/>
    <col min="14851" max="14851" width="19.26953125" style="645" customWidth="1"/>
    <col min="14852" max="14853" width="14.1796875" style="645" customWidth="1"/>
    <col min="14854" max="14854" width="17.54296875" style="645" customWidth="1"/>
    <col min="14855" max="14855" width="17.81640625" style="645" customWidth="1"/>
    <col min="14856" max="14856" width="14.54296875" style="645" bestFit="1" customWidth="1"/>
    <col min="14857" max="14857" width="12.453125" style="645" bestFit="1" customWidth="1"/>
    <col min="14858" max="14858" width="14.54296875" style="645" bestFit="1" customWidth="1"/>
    <col min="14859" max="15104" width="9.1796875" style="645"/>
    <col min="15105" max="15105" width="34.54296875" style="645" customWidth="1"/>
    <col min="15106" max="15106" width="24.7265625" style="645" customWidth="1"/>
    <col min="15107" max="15107" width="19.26953125" style="645" customWidth="1"/>
    <col min="15108" max="15109" width="14.1796875" style="645" customWidth="1"/>
    <col min="15110" max="15110" width="17.54296875" style="645" customWidth="1"/>
    <col min="15111" max="15111" width="17.81640625" style="645" customWidth="1"/>
    <col min="15112" max="15112" width="14.54296875" style="645" bestFit="1" customWidth="1"/>
    <col min="15113" max="15113" width="12.453125" style="645" bestFit="1" customWidth="1"/>
    <col min="15114" max="15114" width="14.54296875" style="645" bestFit="1" customWidth="1"/>
    <col min="15115" max="15360" width="9.1796875" style="645"/>
    <col min="15361" max="15361" width="34.54296875" style="645" customWidth="1"/>
    <col min="15362" max="15362" width="24.7265625" style="645" customWidth="1"/>
    <col min="15363" max="15363" width="19.26953125" style="645" customWidth="1"/>
    <col min="15364" max="15365" width="14.1796875" style="645" customWidth="1"/>
    <col min="15366" max="15366" width="17.54296875" style="645" customWidth="1"/>
    <col min="15367" max="15367" width="17.81640625" style="645" customWidth="1"/>
    <col min="15368" max="15368" width="14.54296875" style="645" bestFit="1" customWidth="1"/>
    <col min="15369" max="15369" width="12.453125" style="645" bestFit="1" customWidth="1"/>
    <col min="15370" max="15370" width="14.54296875" style="645" bestFit="1" customWidth="1"/>
    <col min="15371" max="15616" width="9.1796875" style="645"/>
    <col min="15617" max="15617" width="34.54296875" style="645" customWidth="1"/>
    <col min="15618" max="15618" width="24.7265625" style="645" customWidth="1"/>
    <col min="15619" max="15619" width="19.26953125" style="645" customWidth="1"/>
    <col min="15620" max="15621" width="14.1796875" style="645" customWidth="1"/>
    <col min="15622" max="15622" width="17.54296875" style="645" customWidth="1"/>
    <col min="15623" max="15623" width="17.81640625" style="645" customWidth="1"/>
    <col min="15624" max="15624" width="14.54296875" style="645" bestFit="1" customWidth="1"/>
    <col min="15625" max="15625" width="12.453125" style="645" bestFit="1" customWidth="1"/>
    <col min="15626" max="15626" width="14.54296875" style="645" bestFit="1" customWidth="1"/>
    <col min="15627" max="15872" width="9.1796875" style="645"/>
    <col min="15873" max="15873" width="34.54296875" style="645" customWidth="1"/>
    <col min="15874" max="15874" width="24.7265625" style="645" customWidth="1"/>
    <col min="15875" max="15875" width="19.26953125" style="645" customWidth="1"/>
    <col min="15876" max="15877" width="14.1796875" style="645" customWidth="1"/>
    <col min="15878" max="15878" width="17.54296875" style="645" customWidth="1"/>
    <col min="15879" max="15879" width="17.81640625" style="645" customWidth="1"/>
    <col min="15880" max="15880" width="14.54296875" style="645" bestFit="1" customWidth="1"/>
    <col min="15881" max="15881" width="12.453125" style="645" bestFit="1" customWidth="1"/>
    <col min="15882" max="15882" width="14.54296875" style="645" bestFit="1" customWidth="1"/>
    <col min="15883" max="16128" width="9.1796875" style="645"/>
    <col min="16129" max="16129" width="34.54296875" style="645" customWidth="1"/>
    <col min="16130" max="16130" width="24.7265625" style="645" customWidth="1"/>
    <col min="16131" max="16131" width="19.26953125" style="645" customWidth="1"/>
    <col min="16132" max="16133" width="14.1796875" style="645" customWidth="1"/>
    <col min="16134" max="16134" width="17.54296875" style="645" customWidth="1"/>
    <col min="16135" max="16135" width="17.81640625" style="645" customWidth="1"/>
    <col min="16136" max="16136" width="14.54296875" style="645" bestFit="1" customWidth="1"/>
    <col min="16137" max="16137" width="12.453125" style="645" bestFit="1" customWidth="1"/>
    <col min="16138" max="16138" width="14.54296875" style="645" bestFit="1" customWidth="1"/>
    <col min="16139" max="16384" width="9.1796875" style="645"/>
  </cols>
  <sheetData>
    <row r="1" spans="1:18" x14ac:dyDescent="0.3">
      <c r="E1" s="3500" t="s">
        <v>822</v>
      </c>
      <c r="F1" s="3500"/>
      <c r="G1" s="3500"/>
    </row>
    <row r="2" spans="1:18" x14ac:dyDescent="0.3">
      <c r="E2" s="3500" t="s">
        <v>450</v>
      </c>
      <c r="F2" s="3500"/>
      <c r="G2" s="3500"/>
    </row>
    <row r="3" spans="1:18" x14ac:dyDescent="0.3">
      <c r="E3" s="3500" t="s">
        <v>449</v>
      </c>
      <c r="F3" s="3500"/>
      <c r="G3" s="3500"/>
    </row>
    <row r="4" spans="1:18" x14ac:dyDescent="0.3">
      <c r="E4" s="3500" t="s">
        <v>448</v>
      </c>
      <c r="F4" s="3500"/>
      <c r="G4" s="3500"/>
    </row>
    <row r="5" spans="1:18" x14ac:dyDescent="0.3">
      <c r="E5" s="3500" t="s">
        <v>1131</v>
      </c>
      <c r="F5" s="3500"/>
      <c r="G5" s="3500"/>
    </row>
    <row r="7" spans="1:18" ht="15.5" x14ac:dyDescent="0.35">
      <c r="F7" s="3543" t="s">
        <v>616</v>
      </c>
      <c r="G7" s="3543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5" x14ac:dyDescent="0.35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5" x14ac:dyDescent="0.35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5" x14ac:dyDescent="0.35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5" x14ac:dyDescent="0.3">
      <c r="E11" s="2189"/>
      <c r="F11" s="2189"/>
      <c r="G11" s="2145" t="s">
        <v>1103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5" x14ac:dyDescent="0.3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 x14ac:dyDescent="0.3">
      <c r="A13" s="3605" t="s">
        <v>868</v>
      </c>
      <c r="B13" s="3605"/>
      <c r="C13" s="3605"/>
      <c r="D13" s="3605"/>
      <c r="E13" s="3605"/>
      <c r="F13" s="3605"/>
      <c r="G13" s="3605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" x14ac:dyDescent="0.3">
      <c r="A14" s="3605" t="s">
        <v>869</v>
      </c>
      <c r="B14" s="3605"/>
      <c r="C14" s="3605"/>
      <c r="D14" s="3605"/>
      <c r="E14" s="3605"/>
      <c r="F14" s="3605"/>
      <c r="G14" s="3605"/>
      <c r="H14" s="2207"/>
      <c r="I14" s="2207"/>
      <c r="J14" s="2207"/>
    </row>
    <row r="15" spans="1:18" ht="15" x14ac:dyDescent="0.3">
      <c r="A15" s="3605" t="s">
        <v>1089</v>
      </c>
      <c r="B15" s="3605"/>
      <c r="C15" s="3605"/>
      <c r="D15" s="3605"/>
      <c r="E15" s="3605"/>
      <c r="F15" s="3605"/>
      <c r="G15" s="3605"/>
      <c r="H15" s="2207"/>
      <c r="I15" s="2207"/>
      <c r="J15" s="2207"/>
    </row>
    <row r="16" spans="1:18" s="2191" customFormat="1" ht="44.5" customHeight="1" x14ac:dyDescent="0.35">
      <c r="A16" s="2206"/>
      <c r="B16" s="2206"/>
      <c r="C16" s="2206"/>
      <c r="D16" s="2206"/>
      <c r="E16" s="2206"/>
      <c r="F16" s="2206"/>
    </row>
    <row r="17" spans="1:10" s="2191" customFormat="1" ht="16" thickBot="1" x14ac:dyDescent="0.4">
      <c r="A17" s="3515"/>
      <c r="B17" s="3515"/>
      <c r="C17" s="3515"/>
      <c r="D17" s="3515"/>
      <c r="E17" s="3515"/>
      <c r="F17" s="3515"/>
      <c r="G17" s="2225" t="s">
        <v>1092</v>
      </c>
    </row>
    <row r="18" spans="1:10" ht="29.25" customHeight="1" x14ac:dyDescent="0.3">
      <c r="A18" s="3563" t="s">
        <v>1073</v>
      </c>
      <c r="B18" s="3565" t="s">
        <v>1074</v>
      </c>
      <c r="C18" s="3565" t="s">
        <v>1075</v>
      </c>
      <c r="D18" s="3565" t="s">
        <v>1076</v>
      </c>
      <c r="E18" s="3565"/>
      <c r="F18" s="3565"/>
      <c r="G18" s="3602" t="s">
        <v>1077</v>
      </c>
    </row>
    <row r="19" spans="1:10" ht="29.25" customHeight="1" thickBot="1" x14ac:dyDescent="0.35">
      <c r="A19" s="3564"/>
      <c r="B19" s="3566"/>
      <c r="C19" s="3566"/>
      <c r="D19" s="2209" t="s">
        <v>844</v>
      </c>
      <c r="E19" s="2209" t="s">
        <v>899</v>
      </c>
      <c r="F19" s="2209" t="s">
        <v>997</v>
      </c>
      <c r="G19" s="3603"/>
    </row>
    <row r="20" spans="1:10" ht="33.75" customHeight="1" thickBot="1" x14ac:dyDescent="0.35">
      <c r="A20" s="3606" t="s">
        <v>884</v>
      </c>
      <c r="B20" s="3607"/>
      <c r="C20" s="3607"/>
      <c r="D20" s="3607"/>
      <c r="E20" s="3607"/>
      <c r="F20" s="3607"/>
      <c r="G20" s="3608"/>
    </row>
    <row r="21" spans="1:10" ht="27.75" customHeight="1" x14ac:dyDescent="0.3">
      <c r="A21" s="3604" t="s">
        <v>1125</v>
      </c>
      <c r="B21" s="3557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572">
        <v>2021</v>
      </c>
    </row>
    <row r="22" spans="1:10" ht="27.75" customHeight="1" x14ac:dyDescent="0.3">
      <c r="A22" s="3578"/>
      <c r="B22" s="3579"/>
      <c r="C22" s="2192" t="s">
        <v>1081</v>
      </c>
      <c r="D22" s="2193">
        <v>0</v>
      </c>
      <c r="E22" s="2193">
        <v>0</v>
      </c>
      <c r="F22" s="2217">
        <v>0</v>
      </c>
      <c r="G22" s="3573"/>
    </row>
    <row r="23" spans="1:10" ht="43" customHeight="1" thickBot="1" x14ac:dyDescent="0.35">
      <c r="A23" s="3578"/>
      <c r="B23" s="3579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574"/>
    </row>
    <row r="24" spans="1:10" ht="34" hidden="1" customHeight="1" x14ac:dyDescent="0.3">
      <c r="A24" s="3575" t="s">
        <v>1072</v>
      </c>
      <c r="B24" s="3576"/>
      <c r="C24" s="3576"/>
      <c r="D24" s="3576"/>
      <c r="E24" s="3576"/>
      <c r="F24" s="3576"/>
      <c r="G24" s="3577" t="s">
        <v>1078</v>
      </c>
    </row>
    <row r="25" spans="1:10" ht="35.5" hidden="1" customHeight="1" x14ac:dyDescent="0.3">
      <c r="A25" s="3578" t="s">
        <v>1083</v>
      </c>
      <c r="B25" s="3579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577"/>
      <c r="H25" s="2194"/>
      <c r="I25" s="2194"/>
      <c r="J25" s="2194"/>
    </row>
    <row r="26" spans="1:10" ht="35.5" hidden="1" customHeight="1" x14ac:dyDescent="0.3">
      <c r="A26" s="3578"/>
      <c r="B26" s="3579"/>
      <c r="C26" s="2192" t="s">
        <v>1081</v>
      </c>
      <c r="D26" s="2193">
        <v>0</v>
      </c>
      <c r="E26" s="2193">
        <v>0</v>
      </c>
      <c r="F26" s="2193">
        <v>0</v>
      </c>
      <c r="G26" s="3577"/>
      <c r="H26" s="2194"/>
      <c r="I26" s="2194"/>
      <c r="J26" s="2194"/>
    </row>
    <row r="27" spans="1:10" ht="35.5" hidden="1" customHeight="1" x14ac:dyDescent="0.3">
      <c r="A27" s="3578"/>
      <c r="B27" s="3579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577"/>
      <c r="H27" s="2194"/>
      <c r="I27" s="2194"/>
      <c r="J27" s="2194"/>
    </row>
    <row r="28" spans="1:10" ht="28.5" hidden="1" customHeight="1" x14ac:dyDescent="0.3">
      <c r="A28" s="3578" t="s">
        <v>1084</v>
      </c>
      <c r="B28" s="3579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577"/>
      <c r="H28" s="2194"/>
      <c r="I28" s="2194"/>
      <c r="J28" s="2194"/>
    </row>
    <row r="29" spans="1:10" ht="28.5" hidden="1" customHeight="1" x14ac:dyDescent="0.3">
      <c r="A29" s="3578"/>
      <c r="B29" s="3579"/>
      <c r="C29" s="2192" t="s">
        <v>1081</v>
      </c>
      <c r="D29" s="2193">
        <v>0</v>
      </c>
      <c r="E29" s="2193">
        <v>0</v>
      </c>
      <c r="F29" s="2193">
        <v>0</v>
      </c>
      <c r="G29" s="3577"/>
      <c r="H29" s="2194"/>
      <c r="I29" s="2194"/>
      <c r="J29" s="2194"/>
    </row>
    <row r="30" spans="1:10" ht="28.5" hidden="1" customHeight="1" x14ac:dyDescent="0.3">
      <c r="A30" s="3578"/>
      <c r="B30" s="3579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577"/>
      <c r="H30" s="2194"/>
      <c r="I30" s="2194"/>
      <c r="J30" s="2194"/>
    </row>
    <row r="31" spans="1:10" ht="28.5" hidden="1" customHeight="1" x14ac:dyDescent="0.3">
      <c r="A31" s="3578" t="s">
        <v>1085</v>
      </c>
      <c r="B31" s="3579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577"/>
      <c r="H31" s="2194"/>
      <c r="I31" s="2194"/>
      <c r="J31" s="2194"/>
    </row>
    <row r="32" spans="1:10" ht="28.5" hidden="1" customHeight="1" x14ac:dyDescent="0.3">
      <c r="A32" s="3578"/>
      <c r="B32" s="3579"/>
      <c r="C32" s="2192" t="s">
        <v>1081</v>
      </c>
      <c r="D32" s="2193">
        <v>0</v>
      </c>
      <c r="E32" s="2193">
        <v>0</v>
      </c>
      <c r="F32" s="2193">
        <v>0</v>
      </c>
      <c r="G32" s="3577"/>
      <c r="H32" s="2194"/>
      <c r="I32" s="2194"/>
      <c r="J32" s="2194"/>
    </row>
    <row r="33" spans="1:10" ht="28.5" hidden="1" customHeight="1" x14ac:dyDescent="0.3">
      <c r="A33" s="3578"/>
      <c r="B33" s="3579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577"/>
      <c r="H33" s="2194"/>
      <c r="I33" s="2194"/>
      <c r="J33" s="2194"/>
    </row>
    <row r="34" spans="1:10" s="2198" customFormat="1" ht="28.5" hidden="1" customHeight="1" x14ac:dyDescent="0.3">
      <c r="A34" s="3600" t="s">
        <v>1072</v>
      </c>
      <c r="B34" s="3601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577"/>
      <c r="H34" s="2197"/>
      <c r="I34" s="2197"/>
      <c r="J34" s="2197"/>
    </row>
    <row r="35" spans="1:10" s="2198" customFormat="1" ht="28.5" hidden="1" customHeight="1" x14ac:dyDescent="0.3">
      <c r="A35" s="3600"/>
      <c r="B35" s="3601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577"/>
      <c r="H35" s="2197"/>
      <c r="I35" s="2197"/>
      <c r="J35" s="2197"/>
    </row>
    <row r="36" spans="1:10" s="2198" customFormat="1" ht="26" hidden="1" x14ac:dyDescent="0.3">
      <c r="A36" s="3600"/>
      <c r="B36" s="3601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577"/>
      <c r="H36" s="2197"/>
      <c r="I36" s="2197"/>
      <c r="J36" s="2197"/>
    </row>
    <row r="37" spans="1:10" s="2198" customFormat="1" ht="32.5" customHeight="1" x14ac:dyDescent="0.3">
      <c r="A37" s="3569" t="s">
        <v>1126</v>
      </c>
      <c r="B37" s="3556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572">
        <v>2022</v>
      </c>
      <c r="H37" s="2197"/>
      <c r="I37" s="2197"/>
      <c r="J37" s="2197"/>
    </row>
    <row r="38" spans="1:10" s="2198" customFormat="1" ht="30.65" customHeight="1" x14ac:dyDescent="0.3">
      <c r="A38" s="3570"/>
      <c r="B38" s="3567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573"/>
      <c r="H38" s="2197"/>
      <c r="I38" s="2197"/>
      <c r="J38" s="2197"/>
    </row>
    <row r="39" spans="1:10" s="2198" customFormat="1" ht="32.5" customHeight="1" thickBot="1" x14ac:dyDescent="0.35">
      <c r="A39" s="3571"/>
      <c r="B39" s="3568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574"/>
      <c r="H39" s="2197"/>
      <c r="I39" s="2197"/>
      <c r="J39" s="2197"/>
    </row>
    <row r="40" spans="1:10" s="2198" customFormat="1" ht="13" customHeight="1" x14ac:dyDescent="0.3">
      <c r="A40" s="3589" t="s">
        <v>906</v>
      </c>
      <c r="B40" s="3590"/>
      <c r="C40" s="3590"/>
      <c r="D40" s="3590"/>
      <c r="E40" s="3590"/>
      <c r="F40" s="3590"/>
      <c r="G40" s="3591"/>
      <c r="H40" s="2197"/>
      <c r="I40" s="2197"/>
      <c r="J40" s="2197"/>
    </row>
    <row r="41" spans="1:10" s="2198" customFormat="1" ht="13" customHeight="1" thickBot="1" x14ac:dyDescent="0.35">
      <c r="A41" s="3592"/>
      <c r="B41" s="3593"/>
      <c r="C41" s="3593"/>
      <c r="D41" s="3593"/>
      <c r="E41" s="3593"/>
      <c r="F41" s="3593"/>
      <c r="G41" s="3594"/>
      <c r="H41" s="2197"/>
      <c r="I41" s="2197"/>
      <c r="J41" s="2197"/>
    </row>
    <row r="42" spans="1:10" s="2198" customFormat="1" ht="13.75" hidden="1" customHeight="1" x14ac:dyDescent="0.3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15" customHeight="1" thickTop="1" x14ac:dyDescent="0.3">
      <c r="A43" s="3596" t="s">
        <v>1091</v>
      </c>
      <c r="B43" s="3598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595" t="s">
        <v>1097</v>
      </c>
      <c r="H43" s="2197"/>
      <c r="I43" s="2197"/>
      <c r="J43" s="2197"/>
    </row>
    <row r="44" spans="1:10" s="2198" customFormat="1" ht="19" customHeight="1" x14ac:dyDescent="0.3">
      <c r="A44" s="3578"/>
      <c r="B44" s="3579"/>
      <c r="C44" s="2192" t="s">
        <v>1081</v>
      </c>
      <c r="D44" s="2193">
        <v>0</v>
      </c>
      <c r="E44" s="2193">
        <v>0</v>
      </c>
      <c r="F44" s="2217">
        <v>0</v>
      </c>
      <c r="G44" s="3573"/>
      <c r="H44" s="2197"/>
      <c r="I44" s="2197"/>
      <c r="J44" s="2197"/>
    </row>
    <row r="45" spans="1:10" s="2198" customFormat="1" ht="21.75" customHeight="1" thickBot="1" x14ac:dyDescent="0.35">
      <c r="A45" s="3597"/>
      <c r="B45" s="3599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574"/>
      <c r="H45" s="2197"/>
      <c r="I45" s="2197"/>
      <c r="J45" s="2197"/>
    </row>
    <row r="46" spans="1:10" s="2202" customFormat="1" ht="28.5" customHeight="1" x14ac:dyDescent="0.3">
      <c r="A46" s="3580" t="s">
        <v>1093</v>
      </c>
      <c r="B46" s="3583" t="s">
        <v>828</v>
      </c>
      <c r="C46" s="2210" t="s">
        <v>1080</v>
      </c>
      <c r="D46" s="2208">
        <f>D21+D37+D43</f>
        <v>2866.6669999999999</v>
      </c>
      <c r="E46" s="2208">
        <f t="shared" ref="E46:F46" si="1">E21+E37+E43</f>
        <v>1162</v>
      </c>
      <c r="F46" s="2208">
        <f t="shared" si="1"/>
        <v>2600</v>
      </c>
      <c r="G46" s="3586" t="s">
        <v>1087</v>
      </c>
      <c r="H46" s="2201"/>
      <c r="I46" s="2201"/>
      <c r="J46" s="2201"/>
    </row>
    <row r="47" spans="1:10" s="2202" customFormat="1" ht="28.5" customHeight="1" x14ac:dyDescent="0.3">
      <c r="A47" s="3581"/>
      <c r="B47" s="3584"/>
      <c r="C47" s="2192" t="s">
        <v>1081</v>
      </c>
      <c r="D47" s="2200">
        <f>D44+D38+D22</f>
        <v>0</v>
      </c>
      <c r="E47" s="2200">
        <f t="shared" ref="E47:F47" si="2">E44+E38+E22</f>
        <v>1538</v>
      </c>
      <c r="F47" s="2200">
        <f t="shared" si="2"/>
        <v>0</v>
      </c>
      <c r="G47" s="3587"/>
      <c r="H47" s="2201"/>
      <c r="I47" s="2201"/>
      <c r="J47" s="2201"/>
    </row>
    <row r="48" spans="1:10" s="2202" customFormat="1" ht="26.5" thickBot="1" x14ac:dyDescent="0.35">
      <c r="A48" s="3582"/>
      <c r="B48" s="3585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588"/>
      <c r="H48" s="2201"/>
      <c r="I48" s="2201"/>
      <c r="J48" s="2201"/>
    </row>
    <row r="49" spans="3:6" x14ac:dyDescent="0.3">
      <c r="D49" s="2203"/>
      <c r="E49" s="2203"/>
      <c r="F49" s="2203"/>
    </row>
    <row r="50" spans="3:6" s="2191" customFormat="1" ht="15.5" x14ac:dyDescent="0.35">
      <c r="C50" s="2204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1640625" defaultRowHeight="12.5" x14ac:dyDescent="0.25"/>
  <cols>
    <col min="1" max="1" width="2.81640625" style="2270" customWidth="1"/>
    <col min="2" max="2" width="6.1796875" style="2270" customWidth="1"/>
    <col min="3" max="3" width="70.26953125" style="2270" customWidth="1"/>
    <col min="4" max="4" width="6.453125" style="2270" customWidth="1"/>
    <col min="5" max="5" width="6.7265625" style="2270" customWidth="1"/>
    <col min="6" max="6" width="18.26953125" style="2270" customWidth="1"/>
    <col min="7" max="7" width="16.54296875" style="2270" customWidth="1"/>
    <col min="8" max="9" width="15.7265625" style="2270" customWidth="1"/>
    <col min="10" max="10" width="14.54296875" style="2270" customWidth="1"/>
    <col min="11" max="246" width="8.81640625" style="2270"/>
    <col min="247" max="247" width="40.1796875" style="2270" customWidth="1"/>
    <col min="248" max="248" width="37" style="2270" customWidth="1"/>
    <col min="249" max="249" width="17.453125" style="2270" customWidth="1"/>
    <col min="250" max="250" width="19.453125" style="2270" customWidth="1"/>
    <col min="251" max="251" width="0" style="2270" hidden="1" customWidth="1"/>
    <col min="252" max="252" width="21.7265625" style="2270" customWidth="1"/>
    <col min="253" max="253" width="71" style="2270" customWidth="1"/>
    <col min="254" max="255" width="0" style="2270" hidden="1" customWidth="1"/>
    <col min="256" max="256" width="13.7265625" style="2270" customWidth="1"/>
    <col min="257" max="502" width="8.81640625" style="2270"/>
    <col min="503" max="503" width="40.1796875" style="2270" customWidth="1"/>
    <col min="504" max="504" width="37" style="2270" customWidth="1"/>
    <col min="505" max="505" width="17.453125" style="2270" customWidth="1"/>
    <col min="506" max="506" width="19.453125" style="2270" customWidth="1"/>
    <col min="507" max="507" width="0" style="2270" hidden="1" customWidth="1"/>
    <col min="508" max="508" width="21.7265625" style="2270" customWidth="1"/>
    <col min="509" max="509" width="71" style="2270" customWidth="1"/>
    <col min="510" max="511" width="0" style="2270" hidden="1" customWidth="1"/>
    <col min="512" max="512" width="13.7265625" style="2270" customWidth="1"/>
    <col min="513" max="758" width="8.81640625" style="2270"/>
    <col min="759" max="759" width="40.1796875" style="2270" customWidth="1"/>
    <col min="760" max="760" width="37" style="2270" customWidth="1"/>
    <col min="761" max="761" width="17.453125" style="2270" customWidth="1"/>
    <col min="762" max="762" width="19.453125" style="2270" customWidth="1"/>
    <col min="763" max="763" width="0" style="2270" hidden="1" customWidth="1"/>
    <col min="764" max="764" width="21.7265625" style="2270" customWidth="1"/>
    <col min="765" max="765" width="71" style="2270" customWidth="1"/>
    <col min="766" max="767" width="0" style="2270" hidden="1" customWidth="1"/>
    <col min="768" max="768" width="13.7265625" style="2270" customWidth="1"/>
    <col min="769" max="1014" width="8.81640625" style="2270"/>
    <col min="1015" max="1015" width="40.1796875" style="2270" customWidth="1"/>
    <col min="1016" max="1016" width="37" style="2270" customWidth="1"/>
    <col min="1017" max="1017" width="17.453125" style="2270" customWidth="1"/>
    <col min="1018" max="1018" width="19.453125" style="2270" customWidth="1"/>
    <col min="1019" max="1019" width="0" style="2270" hidden="1" customWidth="1"/>
    <col min="1020" max="1020" width="21.7265625" style="2270" customWidth="1"/>
    <col min="1021" max="1021" width="71" style="2270" customWidth="1"/>
    <col min="1022" max="1023" width="0" style="2270" hidden="1" customWidth="1"/>
    <col min="1024" max="1024" width="13.7265625" style="2270" customWidth="1"/>
    <col min="1025" max="1270" width="8.81640625" style="2270"/>
    <col min="1271" max="1271" width="40.1796875" style="2270" customWidth="1"/>
    <col min="1272" max="1272" width="37" style="2270" customWidth="1"/>
    <col min="1273" max="1273" width="17.453125" style="2270" customWidth="1"/>
    <col min="1274" max="1274" width="19.453125" style="2270" customWidth="1"/>
    <col min="1275" max="1275" width="0" style="2270" hidden="1" customWidth="1"/>
    <col min="1276" max="1276" width="21.7265625" style="2270" customWidth="1"/>
    <col min="1277" max="1277" width="71" style="2270" customWidth="1"/>
    <col min="1278" max="1279" width="0" style="2270" hidden="1" customWidth="1"/>
    <col min="1280" max="1280" width="13.7265625" style="2270" customWidth="1"/>
    <col min="1281" max="1526" width="8.81640625" style="2270"/>
    <col min="1527" max="1527" width="40.1796875" style="2270" customWidth="1"/>
    <col min="1528" max="1528" width="37" style="2270" customWidth="1"/>
    <col min="1529" max="1529" width="17.453125" style="2270" customWidth="1"/>
    <col min="1530" max="1530" width="19.453125" style="2270" customWidth="1"/>
    <col min="1531" max="1531" width="0" style="2270" hidden="1" customWidth="1"/>
    <col min="1532" max="1532" width="21.7265625" style="2270" customWidth="1"/>
    <col min="1533" max="1533" width="71" style="2270" customWidth="1"/>
    <col min="1534" max="1535" width="0" style="2270" hidden="1" customWidth="1"/>
    <col min="1536" max="1536" width="13.7265625" style="2270" customWidth="1"/>
    <col min="1537" max="1782" width="8.81640625" style="2270"/>
    <col min="1783" max="1783" width="40.1796875" style="2270" customWidth="1"/>
    <col min="1784" max="1784" width="37" style="2270" customWidth="1"/>
    <col min="1785" max="1785" width="17.453125" style="2270" customWidth="1"/>
    <col min="1786" max="1786" width="19.453125" style="2270" customWidth="1"/>
    <col min="1787" max="1787" width="0" style="2270" hidden="1" customWidth="1"/>
    <col min="1788" max="1788" width="21.7265625" style="2270" customWidth="1"/>
    <col min="1789" max="1789" width="71" style="2270" customWidth="1"/>
    <col min="1790" max="1791" width="0" style="2270" hidden="1" customWidth="1"/>
    <col min="1792" max="1792" width="13.7265625" style="2270" customWidth="1"/>
    <col min="1793" max="2038" width="8.81640625" style="2270"/>
    <col min="2039" max="2039" width="40.1796875" style="2270" customWidth="1"/>
    <col min="2040" max="2040" width="37" style="2270" customWidth="1"/>
    <col min="2041" max="2041" width="17.453125" style="2270" customWidth="1"/>
    <col min="2042" max="2042" width="19.453125" style="2270" customWidth="1"/>
    <col min="2043" max="2043" width="0" style="2270" hidden="1" customWidth="1"/>
    <col min="2044" max="2044" width="21.7265625" style="2270" customWidth="1"/>
    <col min="2045" max="2045" width="71" style="2270" customWidth="1"/>
    <col min="2046" max="2047" width="0" style="2270" hidden="1" customWidth="1"/>
    <col min="2048" max="2048" width="13.7265625" style="2270" customWidth="1"/>
    <col min="2049" max="2294" width="8.81640625" style="2270"/>
    <col min="2295" max="2295" width="40.1796875" style="2270" customWidth="1"/>
    <col min="2296" max="2296" width="37" style="2270" customWidth="1"/>
    <col min="2297" max="2297" width="17.453125" style="2270" customWidth="1"/>
    <col min="2298" max="2298" width="19.453125" style="2270" customWidth="1"/>
    <col min="2299" max="2299" width="0" style="2270" hidden="1" customWidth="1"/>
    <col min="2300" max="2300" width="21.7265625" style="2270" customWidth="1"/>
    <col min="2301" max="2301" width="71" style="2270" customWidth="1"/>
    <col min="2302" max="2303" width="0" style="2270" hidden="1" customWidth="1"/>
    <col min="2304" max="2304" width="13.7265625" style="2270" customWidth="1"/>
    <col min="2305" max="2550" width="8.81640625" style="2270"/>
    <col min="2551" max="2551" width="40.1796875" style="2270" customWidth="1"/>
    <col min="2552" max="2552" width="37" style="2270" customWidth="1"/>
    <col min="2553" max="2553" width="17.453125" style="2270" customWidth="1"/>
    <col min="2554" max="2554" width="19.453125" style="2270" customWidth="1"/>
    <col min="2555" max="2555" width="0" style="2270" hidden="1" customWidth="1"/>
    <col min="2556" max="2556" width="21.7265625" style="2270" customWidth="1"/>
    <col min="2557" max="2557" width="71" style="2270" customWidth="1"/>
    <col min="2558" max="2559" width="0" style="2270" hidden="1" customWidth="1"/>
    <col min="2560" max="2560" width="13.7265625" style="2270" customWidth="1"/>
    <col min="2561" max="2806" width="8.81640625" style="2270"/>
    <col min="2807" max="2807" width="40.1796875" style="2270" customWidth="1"/>
    <col min="2808" max="2808" width="37" style="2270" customWidth="1"/>
    <col min="2809" max="2809" width="17.453125" style="2270" customWidth="1"/>
    <col min="2810" max="2810" width="19.453125" style="2270" customWidth="1"/>
    <col min="2811" max="2811" width="0" style="2270" hidden="1" customWidth="1"/>
    <col min="2812" max="2812" width="21.7265625" style="2270" customWidth="1"/>
    <col min="2813" max="2813" width="71" style="2270" customWidth="1"/>
    <col min="2814" max="2815" width="0" style="2270" hidden="1" customWidth="1"/>
    <col min="2816" max="2816" width="13.7265625" style="2270" customWidth="1"/>
    <col min="2817" max="3062" width="8.81640625" style="2270"/>
    <col min="3063" max="3063" width="40.1796875" style="2270" customWidth="1"/>
    <col min="3064" max="3064" width="37" style="2270" customWidth="1"/>
    <col min="3065" max="3065" width="17.453125" style="2270" customWidth="1"/>
    <col min="3066" max="3066" width="19.453125" style="2270" customWidth="1"/>
    <col min="3067" max="3067" width="0" style="2270" hidden="1" customWidth="1"/>
    <col min="3068" max="3068" width="21.7265625" style="2270" customWidth="1"/>
    <col min="3069" max="3069" width="71" style="2270" customWidth="1"/>
    <col min="3070" max="3071" width="0" style="2270" hidden="1" customWidth="1"/>
    <col min="3072" max="3072" width="13.7265625" style="2270" customWidth="1"/>
    <col min="3073" max="3318" width="8.81640625" style="2270"/>
    <col min="3319" max="3319" width="40.1796875" style="2270" customWidth="1"/>
    <col min="3320" max="3320" width="37" style="2270" customWidth="1"/>
    <col min="3321" max="3321" width="17.453125" style="2270" customWidth="1"/>
    <col min="3322" max="3322" width="19.453125" style="2270" customWidth="1"/>
    <col min="3323" max="3323" width="0" style="2270" hidden="1" customWidth="1"/>
    <col min="3324" max="3324" width="21.7265625" style="2270" customWidth="1"/>
    <col min="3325" max="3325" width="71" style="2270" customWidth="1"/>
    <col min="3326" max="3327" width="0" style="2270" hidden="1" customWidth="1"/>
    <col min="3328" max="3328" width="13.7265625" style="2270" customWidth="1"/>
    <col min="3329" max="3574" width="8.81640625" style="2270"/>
    <col min="3575" max="3575" width="40.1796875" style="2270" customWidth="1"/>
    <col min="3576" max="3576" width="37" style="2270" customWidth="1"/>
    <col min="3577" max="3577" width="17.453125" style="2270" customWidth="1"/>
    <col min="3578" max="3578" width="19.453125" style="2270" customWidth="1"/>
    <col min="3579" max="3579" width="0" style="2270" hidden="1" customWidth="1"/>
    <col min="3580" max="3580" width="21.7265625" style="2270" customWidth="1"/>
    <col min="3581" max="3581" width="71" style="2270" customWidth="1"/>
    <col min="3582" max="3583" width="0" style="2270" hidden="1" customWidth="1"/>
    <col min="3584" max="3584" width="13.7265625" style="2270" customWidth="1"/>
    <col min="3585" max="3830" width="8.81640625" style="2270"/>
    <col min="3831" max="3831" width="40.1796875" style="2270" customWidth="1"/>
    <col min="3832" max="3832" width="37" style="2270" customWidth="1"/>
    <col min="3833" max="3833" width="17.453125" style="2270" customWidth="1"/>
    <col min="3834" max="3834" width="19.453125" style="2270" customWidth="1"/>
    <col min="3835" max="3835" width="0" style="2270" hidden="1" customWidth="1"/>
    <col min="3836" max="3836" width="21.7265625" style="2270" customWidth="1"/>
    <col min="3837" max="3837" width="71" style="2270" customWidth="1"/>
    <col min="3838" max="3839" width="0" style="2270" hidden="1" customWidth="1"/>
    <col min="3840" max="3840" width="13.7265625" style="2270" customWidth="1"/>
    <col min="3841" max="4086" width="8.81640625" style="2270"/>
    <col min="4087" max="4087" width="40.1796875" style="2270" customWidth="1"/>
    <col min="4088" max="4088" width="37" style="2270" customWidth="1"/>
    <col min="4089" max="4089" width="17.453125" style="2270" customWidth="1"/>
    <col min="4090" max="4090" width="19.453125" style="2270" customWidth="1"/>
    <col min="4091" max="4091" width="0" style="2270" hidden="1" customWidth="1"/>
    <col min="4092" max="4092" width="21.7265625" style="2270" customWidth="1"/>
    <col min="4093" max="4093" width="71" style="2270" customWidth="1"/>
    <col min="4094" max="4095" width="0" style="2270" hidden="1" customWidth="1"/>
    <col min="4096" max="4096" width="13.7265625" style="2270" customWidth="1"/>
    <col min="4097" max="4342" width="8.81640625" style="2270"/>
    <col min="4343" max="4343" width="40.1796875" style="2270" customWidth="1"/>
    <col min="4344" max="4344" width="37" style="2270" customWidth="1"/>
    <col min="4345" max="4345" width="17.453125" style="2270" customWidth="1"/>
    <col min="4346" max="4346" width="19.453125" style="2270" customWidth="1"/>
    <col min="4347" max="4347" width="0" style="2270" hidden="1" customWidth="1"/>
    <col min="4348" max="4348" width="21.7265625" style="2270" customWidth="1"/>
    <col min="4349" max="4349" width="71" style="2270" customWidth="1"/>
    <col min="4350" max="4351" width="0" style="2270" hidden="1" customWidth="1"/>
    <col min="4352" max="4352" width="13.7265625" style="2270" customWidth="1"/>
    <col min="4353" max="4598" width="8.81640625" style="2270"/>
    <col min="4599" max="4599" width="40.1796875" style="2270" customWidth="1"/>
    <col min="4600" max="4600" width="37" style="2270" customWidth="1"/>
    <col min="4601" max="4601" width="17.453125" style="2270" customWidth="1"/>
    <col min="4602" max="4602" width="19.453125" style="2270" customWidth="1"/>
    <col min="4603" max="4603" width="0" style="2270" hidden="1" customWidth="1"/>
    <col min="4604" max="4604" width="21.7265625" style="2270" customWidth="1"/>
    <col min="4605" max="4605" width="71" style="2270" customWidth="1"/>
    <col min="4606" max="4607" width="0" style="2270" hidden="1" customWidth="1"/>
    <col min="4608" max="4608" width="13.7265625" style="2270" customWidth="1"/>
    <col min="4609" max="4854" width="8.81640625" style="2270"/>
    <col min="4855" max="4855" width="40.1796875" style="2270" customWidth="1"/>
    <col min="4856" max="4856" width="37" style="2270" customWidth="1"/>
    <col min="4857" max="4857" width="17.453125" style="2270" customWidth="1"/>
    <col min="4858" max="4858" width="19.453125" style="2270" customWidth="1"/>
    <col min="4859" max="4859" width="0" style="2270" hidden="1" customWidth="1"/>
    <col min="4860" max="4860" width="21.7265625" style="2270" customWidth="1"/>
    <col min="4861" max="4861" width="71" style="2270" customWidth="1"/>
    <col min="4862" max="4863" width="0" style="2270" hidden="1" customWidth="1"/>
    <col min="4864" max="4864" width="13.7265625" style="2270" customWidth="1"/>
    <col min="4865" max="5110" width="8.81640625" style="2270"/>
    <col min="5111" max="5111" width="40.1796875" style="2270" customWidth="1"/>
    <col min="5112" max="5112" width="37" style="2270" customWidth="1"/>
    <col min="5113" max="5113" width="17.453125" style="2270" customWidth="1"/>
    <col min="5114" max="5114" width="19.453125" style="2270" customWidth="1"/>
    <col min="5115" max="5115" width="0" style="2270" hidden="1" customWidth="1"/>
    <col min="5116" max="5116" width="21.7265625" style="2270" customWidth="1"/>
    <col min="5117" max="5117" width="71" style="2270" customWidth="1"/>
    <col min="5118" max="5119" width="0" style="2270" hidden="1" customWidth="1"/>
    <col min="5120" max="5120" width="13.7265625" style="2270" customWidth="1"/>
    <col min="5121" max="5366" width="8.81640625" style="2270"/>
    <col min="5367" max="5367" width="40.1796875" style="2270" customWidth="1"/>
    <col min="5368" max="5368" width="37" style="2270" customWidth="1"/>
    <col min="5369" max="5369" width="17.453125" style="2270" customWidth="1"/>
    <col min="5370" max="5370" width="19.453125" style="2270" customWidth="1"/>
    <col min="5371" max="5371" width="0" style="2270" hidden="1" customWidth="1"/>
    <col min="5372" max="5372" width="21.7265625" style="2270" customWidth="1"/>
    <col min="5373" max="5373" width="71" style="2270" customWidth="1"/>
    <col min="5374" max="5375" width="0" style="2270" hidden="1" customWidth="1"/>
    <col min="5376" max="5376" width="13.7265625" style="2270" customWidth="1"/>
    <col min="5377" max="5622" width="8.81640625" style="2270"/>
    <col min="5623" max="5623" width="40.1796875" style="2270" customWidth="1"/>
    <col min="5624" max="5624" width="37" style="2270" customWidth="1"/>
    <col min="5625" max="5625" width="17.453125" style="2270" customWidth="1"/>
    <col min="5626" max="5626" width="19.453125" style="2270" customWidth="1"/>
    <col min="5627" max="5627" width="0" style="2270" hidden="1" customWidth="1"/>
    <col min="5628" max="5628" width="21.7265625" style="2270" customWidth="1"/>
    <col min="5629" max="5629" width="71" style="2270" customWidth="1"/>
    <col min="5630" max="5631" width="0" style="2270" hidden="1" customWidth="1"/>
    <col min="5632" max="5632" width="13.7265625" style="2270" customWidth="1"/>
    <col min="5633" max="5878" width="8.81640625" style="2270"/>
    <col min="5879" max="5879" width="40.1796875" style="2270" customWidth="1"/>
    <col min="5880" max="5880" width="37" style="2270" customWidth="1"/>
    <col min="5881" max="5881" width="17.453125" style="2270" customWidth="1"/>
    <col min="5882" max="5882" width="19.453125" style="2270" customWidth="1"/>
    <col min="5883" max="5883" width="0" style="2270" hidden="1" customWidth="1"/>
    <col min="5884" max="5884" width="21.7265625" style="2270" customWidth="1"/>
    <col min="5885" max="5885" width="71" style="2270" customWidth="1"/>
    <col min="5886" max="5887" width="0" style="2270" hidden="1" customWidth="1"/>
    <col min="5888" max="5888" width="13.7265625" style="2270" customWidth="1"/>
    <col min="5889" max="6134" width="8.81640625" style="2270"/>
    <col min="6135" max="6135" width="40.1796875" style="2270" customWidth="1"/>
    <col min="6136" max="6136" width="37" style="2270" customWidth="1"/>
    <col min="6137" max="6137" width="17.453125" style="2270" customWidth="1"/>
    <col min="6138" max="6138" width="19.453125" style="2270" customWidth="1"/>
    <col min="6139" max="6139" width="0" style="2270" hidden="1" customWidth="1"/>
    <col min="6140" max="6140" width="21.7265625" style="2270" customWidth="1"/>
    <col min="6141" max="6141" width="71" style="2270" customWidth="1"/>
    <col min="6142" max="6143" width="0" style="2270" hidden="1" customWidth="1"/>
    <col min="6144" max="6144" width="13.7265625" style="2270" customWidth="1"/>
    <col min="6145" max="6390" width="8.81640625" style="2270"/>
    <col min="6391" max="6391" width="40.1796875" style="2270" customWidth="1"/>
    <col min="6392" max="6392" width="37" style="2270" customWidth="1"/>
    <col min="6393" max="6393" width="17.453125" style="2270" customWidth="1"/>
    <col min="6394" max="6394" width="19.453125" style="2270" customWidth="1"/>
    <col min="6395" max="6395" width="0" style="2270" hidden="1" customWidth="1"/>
    <col min="6396" max="6396" width="21.7265625" style="2270" customWidth="1"/>
    <col min="6397" max="6397" width="71" style="2270" customWidth="1"/>
    <col min="6398" max="6399" width="0" style="2270" hidden="1" customWidth="1"/>
    <col min="6400" max="6400" width="13.7265625" style="2270" customWidth="1"/>
    <col min="6401" max="6646" width="8.81640625" style="2270"/>
    <col min="6647" max="6647" width="40.1796875" style="2270" customWidth="1"/>
    <col min="6648" max="6648" width="37" style="2270" customWidth="1"/>
    <col min="6649" max="6649" width="17.453125" style="2270" customWidth="1"/>
    <col min="6650" max="6650" width="19.453125" style="2270" customWidth="1"/>
    <col min="6651" max="6651" width="0" style="2270" hidden="1" customWidth="1"/>
    <col min="6652" max="6652" width="21.7265625" style="2270" customWidth="1"/>
    <col min="6653" max="6653" width="71" style="2270" customWidth="1"/>
    <col min="6654" max="6655" width="0" style="2270" hidden="1" customWidth="1"/>
    <col min="6656" max="6656" width="13.7265625" style="2270" customWidth="1"/>
    <col min="6657" max="6902" width="8.81640625" style="2270"/>
    <col min="6903" max="6903" width="40.1796875" style="2270" customWidth="1"/>
    <col min="6904" max="6904" width="37" style="2270" customWidth="1"/>
    <col min="6905" max="6905" width="17.453125" style="2270" customWidth="1"/>
    <col min="6906" max="6906" width="19.453125" style="2270" customWidth="1"/>
    <col min="6907" max="6907" width="0" style="2270" hidden="1" customWidth="1"/>
    <col min="6908" max="6908" width="21.7265625" style="2270" customWidth="1"/>
    <col min="6909" max="6909" width="71" style="2270" customWidth="1"/>
    <col min="6910" max="6911" width="0" style="2270" hidden="1" customWidth="1"/>
    <col min="6912" max="6912" width="13.7265625" style="2270" customWidth="1"/>
    <col min="6913" max="7158" width="8.81640625" style="2270"/>
    <col min="7159" max="7159" width="40.1796875" style="2270" customWidth="1"/>
    <col min="7160" max="7160" width="37" style="2270" customWidth="1"/>
    <col min="7161" max="7161" width="17.453125" style="2270" customWidth="1"/>
    <col min="7162" max="7162" width="19.453125" style="2270" customWidth="1"/>
    <col min="7163" max="7163" width="0" style="2270" hidden="1" customWidth="1"/>
    <col min="7164" max="7164" width="21.7265625" style="2270" customWidth="1"/>
    <col min="7165" max="7165" width="71" style="2270" customWidth="1"/>
    <col min="7166" max="7167" width="0" style="2270" hidden="1" customWidth="1"/>
    <col min="7168" max="7168" width="13.7265625" style="2270" customWidth="1"/>
    <col min="7169" max="7414" width="8.81640625" style="2270"/>
    <col min="7415" max="7415" width="40.1796875" style="2270" customWidth="1"/>
    <col min="7416" max="7416" width="37" style="2270" customWidth="1"/>
    <col min="7417" max="7417" width="17.453125" style="2270" customWidth="1"/>
    <col min="7418" max="7418" width="19.453125" style="2270" customWidth="1"/>
    <col min="7419" max="7419" width="0" style="2270" hidden="1" customWidth="1"/>
    <col min="7420" max="7420" width="21.7265625" style="2270" customWidth="1"/>
    <col min="7421" max="7421" width="71" style="2270" customWidth="1"/>
    <col min="7422" max="7423" width="0" style="2270" hidden="1" customWidth="1"/>
    <col min="7424" max="7424" width="13.7265625" style="2270" customWidth="1"/>
    <col min="7425" max="7670" width="8.81640625" style="2270"/>
    <col min="7671" max="7671" width="40.1796875" style="2270" customWidth="1"/>
    <col min="7672" max="7672" width="37" style="2270" customWidth="1"/>
    <col min="7673" max="7673" width="17.453125" style="2270" customWidth="1"/>
    <col min="7674" max="7674" width="19.453125" style="2270" customWidth="1"/>
    <col min="7675" max="7675" width="0" style="2270" hidden="1" customWidth="1"/>
    <col min="7676" max="7676" width="21.7265625" style="2270" customWidth="1"/>
    <col min="7677" max="7677" width="71" style="2270" customWidth="1"/>
    <col min="7678" max="7679" width="0" style="2270" hidden="1" customWidth="1"/>
    <col min="7680" max="7680" width="13.7265625" style="2270" customWidth="1"/>
    <col min="7681" max="7926" width="8.81640625" style="2270"/>
    <col min="7927" max="7927" width="40.1796875" style="2270" customWidth="1"/>
    <col min="7928" max="7928" width="37" style="2270" customWidth="1"/>
    <col min="7929" max="7929" width="17.453125" style="2270" customWidth="1"/>
    <col min="7930" max="7930" width="19.453125" style="2270" customWidth="1"/>
    <col min="7931" max="7931" width="0" style="2270" hidden="1" customWidth="1"/>
    <col min="7932" max="7932" width="21.7265625" style="2270" customWidth="1"/>
    <col min="7933" max="7933" width="71" style="2270" customWidth="1"/>
    <col min="7934" max="7935" width="0" style="2270" hidden="1" customWidth="1"/>
    <col min="7936" max="7936" width="13.7265625" style="2270" customWidth="1"/>
    <col min="7937" max="8182" width="8.81640625" style="2270"/>
    <col min="8183" max="8183" width="40.1796875" style="2270" customWidth="1"/>
    <col min="8184" max="8184" width="37" style="2270" customWidth="1"/>
    <col min="8185" max="8185" width="17.453125" style="2270" customWidth="1"/>
    <col min="8186" max="8186" width="19.453125" style="2270" customWidth="1"/>
    <col min="8187" max="8187" width="0" style="2270" hidden="1" customWidth="1"/>
    <col min="8188" max="8188" width="21.7265625" style="2270" customWidth="1"/>
    <col min="8189" max="8189" width="71" style="2270" customWidth="1"/>
    <col min="8190" max="8191" width="0" style="2270" hidden="1" customWidth="1"/>
    <col min="8192" max="8192" width="13.7265625" style="2270" customWidth="1"/>
    <col min="8193" max="8438" width="8.81640625" style="2270"/>
    <col min="8439" max="8439" width="40.1796875" style="2270" customWidth="1"/>
    <col min="8440" max="8440" width="37" style="2270" customWidth="1"/>
    <col min="8441" max="8441" width="17.453125" style="2270" customWidth="1"/>
    <col min="8442" max="8442" width="19.453125" style="2270" customWidth="1"/>
    <col min="8443" max="8443" width="0" style="2270" hidden="1" customWidth="1"/>
    <col min="8444" max="8444" width="21.7265625" style="2270" customWidth="1"/>
    <col min="8445" max="8445" width="71" style="2270" customWidth="1"/>
    <col min="8446" max="8447" width="0" style="2270" hidden="1" customWidth="1"/>
    <col min="8448" max="8448" width="13.7265625" style="2270" customWidth="1"/>
    <col min="8449" max="8694" width="8.81640625" style="2270"/>
    <col min="8695" max="8695" width="40.1796875" style="2270" customWidth="1"/>
    <col min="8696" max="8696" width="37" style="2270" customWidth="1"/>
    <col min="8697" max="8697" width="17.453125" style="2270" customWidth="1"/>
    <col min="8698" max="8698" width="19.453125" style="2270" customWidth="1"/>
    <col min="8699" max="8699" width="0" style="2270" hidden="1" customWidth="1"/>
    <col min="8700" max="8700" width="21.7265625" style="2270" customWidth="1"/>
    <col min="8701" max="8701" width="71" style="2270" customWidth="1"/>
    <col min="8702" max="8703" width="0" style="2270" hidden="1" customWidth="1"/>
    <col min="8704" max="8704" width="13.7265625" style="2270" customWidth="1"/>
    <col min="8705" max="8950" width="8.81640625" style="2270"/>
    <col min="8951" max="8951" width="40.1796875" style="2270" customWidth="1"/>
    <col min="8952" max="8952" width="37" style="2270" customWidth="1"/>
    <col min="8953" max="8953" width="17.453125" style="2270" customWidth="1"/>
    <col min="8954" max="8954" width="19.453125" style="2270" customWidth="1"/>
    <col min="8955" max="8955" width="0" style="2270" hidden="1" customWidth="1"/>
    <col min="8956" max="8956" width="21.7265625" style="2270" customWidth="1"/>
    <col min="8957" max="8957" width="71" style="2270" customWidth="1"/>
    <col min="8958" max="8959" width="0" style="2270" hidden="1" customWidth="1"/>
    <col min="8960" max="8960" width="13.7265625" style="2270" customWidth="1"/>
    <col min="8961" max="9206" width="8.81640625" style="2270"/>
    <col min="9207" max="9207" width="40.1796875" style="2270" customWidth="1"/>
    <col min="9208" max="9208" width="37" style="2270" customWidth="1"/>
    <col min="9209" max="9209" width="17.453125" style="2270" customWidth="1"/>
    <col min="9210" max="9210" width="19.453125" style="2270" customWidth="1"/>
    <col min="9211" max="9211" width="0" style="2270" hidden="1" customWidth="1"/>
    <col min="9212" max="9212" width="21.7265625" style="2270" customWidth="1"/>
    <col min="9213" max="9213" width="71" style="2270" customWidth="1"/>
    <col min="9214" max="9215" width="0" style="2270" hidden="1" customWidth="1"/>
    <col min="9216" max="9216" width="13.7265625" style="2270" customWidth="1"/>
    <col min="9217" max="9462" width="8.81640625" style="2270"/>
    <col min="9463" max="9463" width="40.1796875" style="2270" customWidth="1"/>
    <col min="9464" max="9464" width="37" style="2270" customWidth="1"/>
    <col min="9465" max="9465" width="17.453125" style="2270" customWidth="1"/>
    <col min="9466" max="9466" width="19.453125" style="2270" customWidth="1"/>
    <col min="9467" max="9467" width="0" style="2270" hidden="1" customWidth="1"/>
    <col min="9468" max="9468" width="21.7265625" style="2270" customWidth="1"/>
    <col min="9469" max="9469" width="71" style="2270" customWidth="1"/>
    <col min="9470" max="9471" width="0" style="2270" hidden="1" customWidth="1"/>
    <col min="9472" max="9472" width="13.7265625" style="2270" customWidth="1"/>
    <col min="9473" max="9718" width="8.81640625" style="2270"/>
    <col min="9719" max="9719" width="40.1796875" style="2270" customWidth="1"/>
    <col min="9720" max="9720" width="37" style="2270" customWidth="1"/>
    <col min="9721" max="9721" width="17.453125" style="2270" customWidth="1"/>
    <col min="9722" max="9722" width="19.453125" style="2270" customWidth="1"/>
    <col min="9723" max="9723" width="0" style="2270" hidden="1" customWidth="1"/>
    <col min="9724" max="9724" width="21.7265625" style="2270" customWidth="1"/>
    <col min="9725" max="9725" width="71" style="2270" customWidth="1"/>
    <col min="9726" max="9727" width="0" style="2270" hidden="1" customWidth="1"/>
    <col min="9728" max="9728" width="13.7265625" style="2270" customWidth="1"/>
    <col min="9729" max="9974" width="8.81640625" style="2270"/>
    <col min="9975" max="9975" width="40.1796875" style="2270" customWidth="1"/>
    <col min="9976" max="9976" width="37" style="2270" customWidth="1"/>
    <col min="9977" max="9977" width="17.453125" style="2270" customWidth="1"/>
    <col min="9978" max="9978" width="19.453125" style="2270" customWidth="1"/>
    <col min="9979" max="9979" width="0" style="2270" hidden="1" customWidth="1"/>
    <col min="9980" max="9980" width="21.7265625" style="2270" customWidth="1"/>
    <col min="9981" max="9981" width="71" style="2270" customWidth="1"/>
    <col min="9982" max="9983" width="0" style="2270" hidden="1" customWidth="1"/>
    <col min="9984" max="9984" width="13.7265625" style="2270" customWidth="1"/>
    <col min="9985" max="10230" width="8.81640625" style="2270"/>
    <col min="10231" max="10231" width="40.1796875" style="2270" customWidth="1"/>
    <col min="10232" max="10232" width="37" style="2270" customWidth="1"/>
    <col min="10233" max="10233" width="17.453125" style="2270" customWidth="1"/>
    <col min="10234" max="10234" width="19.453125" style="2270" customWidth="1"/>
    <col min="10235" max="10235" width="0" style="2270" hidden="1" customWidth="1"/>
    <col min="10236" max="10236" width="21.7265625" style="2270" customWidth="1"/>
    <col min="10237" max="10237" width="71" style="2270" customWidth="1"/>
    <col min="10238" max="10239" width="0" style="2270" hidden="1" customWidth="1"/>
    <col min="10240" max="10240" width="13.7265625" style="2270" customWidth="1"/>
    <col min="10241" max="10486" width="8.81640625" style="2270"/>
    <col min="10487" max="10487" width="40.1796875" style="2270" customWidth="1"/>
    <col min="10488" max="10488" width="37" style="2270" customWidth="1"/>
    <col min="10489" max="10489" width="17.453125" style="2270" customWidth="1"/>
    <col min="10490" max="10490" width="19.453125" style="2270" customWidth="1"/>
    <col min="10491" max="10491" width="0" style="2270" hidden="1" customWidth="1"/>
    <col min="10492" max="10492" width="21.7265625" style="2270" customWidth="1"/>
    <col min="10493" max="10493" width="71" style="2270" customWidth="1"/>
    <col min="10494" max="10495" width="0" style="2270" hidden="1" customWidth="1"/>
    <col min="10496" max="10496" width="13.7265625" style="2270" customWidth="1"/>
    <col min="10497" max="10742" width="8.81640625" style="2270"/>
    <col min="10743" max="10743" width="40.1796875" style="2270" customWidth="1"/>
    <col min="10744" max="10744" width="37" style="2270" customWidth="1"/>
    <col min="10745" max="10745" width="17.453125" style="2270" customWidth="1"/>
    <col min="10746" max="10746" width="19.453125" style="2270" customWidth="1"/>
    <col min="10747" max="10747" width="0" style="2270" hidden="1" customWidth="1"/>
    <col min="10748" max="10748" width="21.7265625" style="2270" customWidth="1"/>
    <col min="10749" max="10749" width="71" style="2270" customWidth="1"/>
    <col min="10750" max="10751" width="0" style="2270" hidden="1" customWidth="1"/>
    <col min="10752" max="10752" width="13.7265625" style="2270" customWidth="1"/>
    <col min="10753" max="10998" width="8.81640625" style="2270"/>
    <col min="10999" max="10999" width="40.1796875" style="2270" customWidth="1"/>
    <col min="11000" max="11000" width="37" style="2270" customWidth="1"/>
    <col min="11001" max="11001" width="17.453125" style="2270" customWidth="1"/>
    <col min="11002" max="11002" width="19.453125" style="2270" customWidth="1"/>
    <col min="11003" max="11003" width="0" style="2270" hidden="1" customWidth="1"/>
    <col min="11004" max="11004" width="21.7265625" style="2270" customWidth="1"/>
    <col min="11005" max="11005" width="71" style="2270" customWidth="1"/>
    <col min="11006" max="11007" width="0" style="2270" hidden="1" customWidth="1"/>
    <col min="11008" max="11008" width="13.7265625" style="2270" customWidth="1"/>
    <col min="11009" max="11254" width="8.81640625" style="2270"/>
    <col min="11255" max="11255" width="40.1796875" style="2270" customWidth="1"/>
    <col min="11256" max="11256" width="37" style="2270" customWidth="1"/>
    <col min="11257" max="11257" width="17.453125" style="2270" customWidth="1"/>
    <col min="11258" max="11258" width="19.453125" style="2270" customWidth="1"/>
    <col min="11259" max="11259" width="0" style="2270" hidden="1" customWidth="1"/>
    <col min="11260" max="11260" width="21.7265625" style="2270" customWidth="1"/>
    <col min="11261" max="11261" width="71" style="2270" customWidth="1"/>
    <col min="11262" max="11263" width="0" style="2270" hidden="1" customWidth="1"/>
    <col min="11264" max="11264" width="13.7265625" style="2270" customWidth="1"/>
    <col min="11265" max="11510" width="8.81640625" style="2270"/>
    <col min="11511" max="11511" width="40.1796875" style="2270" customWidth="1"/>
    <col min="11512" max="11512" width="37" style="2270" customWidth="1"/>
    <col min="11513" max="11513" width="17.453125" style="2270" customWidth="1"/>
    <col min="11514" max="11514" width="19.453125" style="2270" customWidth="1"/>
    <col min="11515" max="11515" width="0" style="2270" hidden="1" customWidth="1"/>
    <col min="11516" max="11516" width="21.7265625" style="2270" customWidth="1"/>
    <col min="11517" max="11517" width="71" style="2270" customWidth="1"/>
    <col min="11518" max="11519" width="0" style="2270" hidden="1" customWidth="1"/>
    <col min="11520" max="11520" width="13.7265625" style="2270" customWidth="1"/>
    <col min="11521" max="11766" width="8.81640625" style="2270"/>
    <col min="11767" max="11767" width="40.1796875" style="2270" customWidth="1"/>
    <col min="11768" max="11768" width="37" style="2270" customWidth="1"/>
    <col min="11769" max="11769" width="17.453125" style="2270" customWidth="1"/>
    <col min="11770" max="11770" width="19.453125" style="2270" customWidth="1"/>
    <col min="11771" max="11771" width="0" style="2270" hidden="1" customWidth="1"/>
    <col min="11772" max="11772" width="21.7265625" style="2270" customWidth="1"/>
    <col min="11773" max="11773" width="71" style="2270" customWidth="1"/>
    <col min="11774" max="11775" width="0" style="2270" hidden="1" customWidth="1"/>
    <col min="11776" max="11776" width="13.7265625" style="2270" customWidth="1"/>
    <col min="11777" max="12022" width="8.81640625" style="2270"/>
    <col min="12023" max="12023" width="40.1796875" style="2270" customWidth="1"/>
    <col min="12024" max="12024" width="37" style="2270" customWidth="1"/>
    <col min="12025" max="12025" width="17.453125" style="2270" customWidth="1"/>
    <col min="12026" max="12026" width="19.453125" style="2270" customWidth="1"/>
    <col min="12027" max="12027" width="0" style="2270" hidden="1" customWidth="1"/>
    <col min="12028" max="12028" width="21.7265625" style="2270" customWidth="1"/>
    <col min="12029" max="12029" width="71" style="2270" customWidth="1"/>
    <col min="12030" max="12031" width="0" style="2270" hidden="1" customWidth="1"/>
    <col min="12032" max="12032" width="13.7265625" style="2270" customWidth="1"/>
    <col min="12033" max="12278" width="8.81640625" style="2270"/>
    <col min="12279" max="12279" width="40.1796875" style="2270" customWidth="1"/>
    <col min="12280" max="12280" width="37" style="2270" customWidth="1"/>
    <col min="12281" max="12281" width="17.453125" style="2270" customWidth="1"/>
    <col min="12282" max="12282" width="19.453125" style="2270" customWidth="1"/>
    <col min="12283" max="12283" width="0" style="2270" hidden="1" customWidth="1"/>
    <col min="12284" max="12284" width="21.7265625" style="2270" customWidth="1"/>
    <col min="12285" max="12285" width="71" style="2270" customWidth="1"/>
    <col min="12286" max="12287" width="0" style="2270" hidden="1" customWidth="1"/>
    <col min="12288" max="12288" width="13.7265625" style="2270" customWidth="1"/>
    <col min="12289" max="12534" width="8.81640625" style="2270"/>
    <col min="12535" max="12535" width="40.1796875" style="2270" customWidth="1"/>
    <col min="12536" max="12536" width="37" style="2270" customWidth="1"/>
    <col min="12537" max="12537" width="17.453125" style="2270" customWidth="1"/>
    <col min="12538" max="12538" width="19.453125" style="2270" customWidth="1"/>
    <col min="12539" max="12539" width="0" style="2270" hidden="1" customWidth="1"/>
    <col min="12540" max="12540" width="21.7265625" style="2270" customWidth="1"/>
    <col min="12541" max="12541" width="71" style="2270" customWidth="1"/>
    <col min="12542" max="12543" width="0" style="2270" hidden="1" customWidth="1"/>
    <col min="12544" max="12544" width="13.7265625" style="2270" customWidth="1"/>
    <col min="12545" max="12790" width="8.81640625" style="2270"/>
    <col min="12791" max="12791" width="40.1796875" style="2270" customWidth="1"/>
    <col min="12792" max="12792" width="37" style="2270" customWidth="1"/>
    <col min="12793" max="12793" width="17.453125" style="2270" customWidth="1"/>
    <col min="12794" max="12794" width="19.453125" style="2270" customWidth="1"/>
    <col min="12795" max="12795" width="0" style="2270" hidden="1" customWidth="1"/>
    <col min="12796" max="12796" width="21.7265625" style="2270" customWidth="1"/>
    <col min="12797" max="12797" width="71" style="2270" customWidth="1"/>
    <col min="12798" max="12799" width="0" style="2270" hidden="1" customWidth="1"/>
    <col min="12800" max="12800" width="13.7265625" style="2270" customWidth="1"/>
    <col min="12801" max="13046" width="8.81640625" style="2270"/>
    <col min="13047" max="13047" width="40.1796875" style="2270" customWidth="1"/>
    <col min="13048" max="13048" width="37" style="2270" customWidth="1"/>
    <col min="13049" max="13049" width="17.453125" style="2270" customWidth="1"/>
    <col min="13050" max="13050" width="19.453125" style="2270" customWidth="1"/>
    <col min="13051" max="13051" width="0" style="2270" hidden="1" customWidth="1"/>
    <col min="13052" max="13052" width="21.7265625" style="2270" customWidth="1"/>
    <col min="13053" max="13053" width="71" style="2270" customWidth="1"/>
    <col min="13054" max="13055" width="0" style="2270" hidden="1" customWidth="1"/>
    <col min="13056" max="13056" width="13.7265625" style="2270" customWidth="1"/>
    <col min="13057" max="13302" width="8.81640625" style="2270"/>
    <col min="13303" max="13303" width="40.1796875" style="2270" customWidth="1"/>
    <col min="13304" max="13304" width="37" style="2270" customWidth="1"/>
    <col min="13305" max="13305" width="17.453125" style="2270" customWidth="1"/>
    <col min="13306" max="13306" width="19.453125" style="2270" customWidth="1"/>
    <col min="13307" max="13307" width="0" style="2270" hidden="1" customWidth="1"/>
    <col min="13308" max="13308" width="21.7265625" style="2270" customWidth="1"/>
    <col min="13309" max="13309" width="71" style="2270" customWidth="1"/>
    <col min="13310" max="13311" width="0" style="2270" hidden="1" customWidth="1"/>
    <col min="13312" max="13312" width="13.7265625" style="2270" customWidth="1"/>
    <col min="13313" max="13558" width="8.81640625" style="2270"/>
    <col min="13559" max="13559" width="40.1796875" style="2270" customWidth="1"/>
    <col min="13560" max="13560" width="37" style="2270" customWidth="1"/>
    <col min="13561" max="13561" width="17.453125" style="2270" customWidth="1"/>
    <col min="13562" max="13562" width="19.453125" style="2270" customWidth="1"/>
    <col min="13563" max="13563" width="0" style="2270" hidden="1" customWidth="1"/>
    <col min="13564" max="13564" width="21.7265625" style="2270" customWidth="1"/>
    <col min="13565" max="13565" width="71" style="2270" customWidth="1"/>
    <col min="13566" max="13567" width="0" style="2270" hidden="1" customWidth="1"/>
    <col min="13568" max="13568" width="13.7265625" style="2270" customWidth="1"/>
    <col min="13569" max="13814" width="8.81640625" style="2270"/>
    <col min="13815" max="13815" width="40.1796875" style="2270" customWidth="1"/>
    <col min="13816" max="13816" width="37" style="2270" customWidth="1"/>
    <col min="13817" max="13817" width="17.453125" style="2270" customWidth="1"/>
    <col min="13818" max="13818" width="19.453125" style="2270" customWidth="1"/>
    <col min="13819" max="13819" width="0" style="2270" hidden="1" customWidth="1"/>
    <col min="13820" max="13820" width="21.7265625" style="2270" customWidth="1"/>
    <col min="13821" max="13821" width="71" style="2270" customWidth="1"/>
    <col min="13822" max="13823" width="0" style="2270" hidden="1" customWidth="1"/>
    <col min="13824" max="13824" width="13.7265625" style="2270" customWidth="1"/>
    <col min="13825" max="14070" width="8.81640625" style="2270"/>
    <col min="14071" max="14071" width="40.1796875" style="2270" customWidth="1"/>
    <col min="14072" max="14072" width="37" style="2270" customWidth="1"/>
    <col min="14073" max="14073" width="17.453125" style="2270" customWidth="1"/>
    <col min="14074" max="14074" width="19.453125" style="2270" customWidth="1"/>
    <col min="14075" max="14075" width="0" style="2270" hidden="1" customWidth="1"/>
    <col min="14076" max="14076" width="21.7265625" style="2270" customWidth="1"/>
    <col min="14077" max="14077" width="71" style="2270" customWidth="1"/>
    <col min="14078" max="14079" width="0" style="2270" hidden="1" customWidth="1"/>
    <col min="14080" max="14080" width="13.7265625" style="2270" customWidth="1"/>
    <col min="14081" max="14326" width="8.81640625" style="2270"/>
    <col min="14327" max="14327" width="40.1796875" style="2270" customWidth="1"/>
    <col min="14328" max="14328" width="37" style="2270" customWidth="1"/>
    <col min="14329" max="14329" width="17.453125" style="2270" customWidth="1"/>
    <col min="14330" max="14330" width="19.453125" style="2270" customWidth="1"/>
    <col min="14331" max="14331" width="0" style="2270" hidden="1" customWidth="1"/>
    <col min="14332" max="14332" width="21.7265625" style="2270" customWidth="1"/>
    <col min="14333" max="14333" width="71" style="2270" customWidth="1"/>
    <col min="14334" max="14335" width="0" style="2270" hidden="1" customWidth="1"/>
    <col min="14336" max="14336" width="13.7265625" style="2270" customWidth="1"/>
    <col min="14337" max="14582" width="8.81640625" style="2270"/>
    <col min="14583" max="14583" width="40.1796875" style="2270" customWidth="1"/>
    <col min="14584" max="14584" width="37" style="2270" customWidth="1"/>
    <col min="14585" max="14585" width="17.453125" style="2270" customWidth="1"/>
    <col min="14586" max="14586" width="19.453125" style="2270" customWidth="1"/>
    <col min="14587" max="14587" width="0" style="2270" hidden="1" customWidth="1"/>
    <col min="14588" max="14588" width="21.7265625" style="2270" customWidth="1"/>
    <col min="14589" max="14589" width="71" style="2270" customWidth="1"/>
    <col min="14590" max="14591" width="0" style="2270" hidden="1" customWidth="1"/>
    <col min="14592" max="14592" width="13.7265625" style="2270" customWidth="1"/>
    <col min="14593" max="14838" width="8.81640625" style="2270"/>
    <col min="14839" max="14839" width="40.1796875" style="2270" customWidth="1"/>
    <col min="14840" max="14840" width="37" style="2270" customWidth="1"/>
    <col min="14841" max="14841" width="17.453125" style="2270" customWidth="1"/>
    <col min="14842" max="14842" width="19.453125" style="2270" customWidth="1"/>
    <col min="14843" max="14843" width="0" style="2270" hidden="1" customWidth="1"/>
    <col min="14844" max="14844" width="21.7265625" style="2270" customWidth="1"/>
    <col min="14845" max="14845" width="71" style="2270" customWidth="1"/>
    <col min="14846" max="14847" width="0" style="2270" hidden="1" customWidth="1"/>
    <col min="14848" max="14848" width="13.7265625" style="2270" customWidth="1"/>
    <col min="14849" max="15094" width="8.81640625" style="2270"/>
    <col min="15095" max="15095" width="40.1796875" style="2270" customWidth="1"/>
    <col min="15096" max="15096" width="37" style="2270" customWidth="1"/>
    <col min="15097" max="15097" width="17.453125" style="2270" customWidth="1"/>
    <col min="15098" max="15098" width="19.453125" style="2270" customWidth="1"/>
    <col min="15099" max="15099" width="0" style="2270" hidden="1" customWidth="1"/>
    <col min="15100" max="15100" width="21.7265625" style="2270" customWidth="1"/>
    <col min="15101" max="15101" width="71" style="2270" customWidth="1"/>
    <col min="15102" max="15103" width="0" style="2270" hidden="1" customWidth="1"/>
    <col min="15104" max="15104" width="13.7265625" style="2270" customWidth="1"/>
    <col min="15105" max="15350" width="8.81640625" style="2270"/>
    <col min="15351" max="15351" width="40.1796875" style="2270" customWidth="1"/>
    <col min="15352" max="15352" width="37" style="2270" customWidth="1"/>
    <col min="15353" max="15353" width="17.453125" style="2270" customWidth="1"/>
    <col min="15354" max="15354" width="19.453125" style="2270" customWidth="1"/>
    <col min="15355" max="15355" width="0" style="2270" hidden="1" customWidth="1"/>
    <col min="15356" max="15356" width="21.7265625" style="2270" customWidth="1"/>
    <col min="15357" max="15357" width="71" style="2270" customWidth="1"/>
    <col min="15358" max="15359" width="0" style="2270" hidden="1" customWidth="1"/>
    <col min="15360" max="15360" width="13.7265625" style="2270" customWidth="1"/>
    <col min="15361" max="15606" width="8.81640625" style="2270"/>
    <col min="15607" max="15607" width="40.1796875" style="2270" customWidth="1"/>
    <col min="15608" max="15608" width="37" style="2270" customWidth="1"/>
    <col min="15609" max="15609" width="17.453125" style="2270" customWidth="1"/>
    <col min="15610" max="15610" width="19.453125" style="2270" customWidth="1"/>
    <col min="15611" max="15611" width="0" style="2270" hidden="1" customWidth="1"/>
    <col min="15612" max="15612" width="21.7265625" style="2270" customWidth="1"/>
    <col min="15613" max="15613" width="71" style="2270" customWidth="1"/>
    <col min="15614" max="15615" width="0" style="2270" hidden="1" customWidth="1"/>
    <col min="15616" max="15616" width="13.7265625" style="2270" customWidth="1"/>
    <col min="15617" max="15862" width="8.81640625" style="2270"/>
    <col min="15863" max="15863" width="40.1796875" style="2270" customWidth="1"/>
    <col min="15864" max="15864" width="37" style="2270" customWidth="1"/>
    <col min="15865" max="15865" width="17.453125" style="2270" customWidth="1"/>
    <col min="15866" max="15866" width="19.453125" style="2270" customWidth="1"/>
    <col min="15867" max="15867" width="0" style="2270" hidden="1" customWidth="1"/>
    <col min="15868" max="15868" width="21.7265625" style="2270" customWidth="1"/>
    <col min="15869" max="15869" width="71" style="2270" customWidth="1"/>
    <col min="15870" max="15871" width="0" style="2270" hidden="1" customWidth="1"/>
    <col min="15872" max="15872" width="13.7265625" style="2270" customWidth="1"/>
    <col min="15873" max="16118" width="8.81640625" style="2270"/>
    <col min="16119" max="16119" width="40.1796875" style="2270" customWidth="1"/>
    <col min="16120" max="16120" width="37" style="2270" customWidth="1"/>
    <col min="16121" max="16121" width="17.453125" style="2270" customWidth="1"/>
    <col min="16122" max="16122" width="19.453125" style="2270" customWidth="1"/>
    <col min="16123" max="16123" width="0" style="2270" hidden="1" customWidth="1"/>
    <col min="16124" max="16124" width="21.7265625" style="2270" customWidth="1"/>
    <col min="16125" max="16125" width="71" style="2270" customWidth="1"/>
    <col min="16126" max="16127" width="0" style="2270" hidden="1" customWidth="1"/>
    <col min="16128" max="16128" width="13.7265625" style="2270" customWidth="1"/>
    <col min="16129" max="16384" width="8.81640625" style="2270"/>
  </cols>
  <sheetData>
    <row r="1" spans="1:25" ht="15.5" x14ac:dyDescent="0.35">
      <c r="A1" s="2308"/>
      <c r="B1" s="2308"/>
      <c r="C1" s="2308"/>
      <c r="D1" s="2308"/>
      <c r="E1" s="2308"/>
      <c r="F1" s="2308"/>
      <c r="G1" s="2308"/>
      <c r="H1" s="3494" t="s">
        <v>792</v>
      </c>
      <c r="I1" s="3494"/>
      <c r="J1" s="3494"/>
    </row>
    <row r="2" spans="1:25" ht="15.5" x14ac:dyDescent="0.35">
      <c r="A2" s="2308"/>
      <c r="B2" s="2308"/>
      <c r="C2" s="2308"/>
      <c r="D2" s="2308"/>
      <c r="E2" s="2308"/>
      <c r="F2" s="2308"/>
      <c r="G2" s="2308"/>
      <c r="H2" s="3494" t="s">
        <v>450</v>
      </c>
      <c r="I2" s="3494"/>
      <c r="J2" s="3494"/>
    </row>
    <row r="3" spans="1:25" ht="15.5" x14ac:dyDescent="0.35">
      <c r="A3" s="2308"/>
      <c r="B3" s="2308"/>
      <c r="C3" s="2308"/>
      <c r="D3" s="2308"/>
      <c r="E3" s="2308"/>
      <c r="F3" s="2308"/>
      <c r="G3" s="2308"/>
      <c r="H3" s="3494" t="s">
        <v>449</v>
      </c>
      <c r="I3" s="3494"/>
      <c r="J3" s="3494"/>
    </row>
    <row r="4" spans="1:25" ht="15.5" x14ac:dyDescent="0.35">
      <c r="A4" s="2308"/>
      <c r="B4" s="2308"/>
      <c r="C4" s="2308"/>
      <c r="D4" s="2308"/>
      <c r="E4" s="2308"/>
      <c r="F4" s="2308"/>
      <c r="G4" s="2308"/>
      <c r="H4" s="3494" t="s">
        <v>448</v>
      </c>
      <c r="I4" s="3494"/>
      <c r="J4" s="3494"/>
    </row>
    <row r="5" spans="1:25" ht="15.5" x14ac:dyDescent="0.35">
      <c r="A5" s="2308"/>
      <c r="B5" s="2308"/>
      <c r="C5" s="2308"/>
      <c r="D5" s="2308"/>
      <c r="E5" s="2308"/>
      <c r="F5" s="2308"/>
      <c r="G5" s="2308"/>
      <c r="H5" s="3494" t="s">
        <v>1154</v>
      </c>
      <c r="I5" s="3494"/>
      <c r="J5" s="3494"/>
    </row>
    <row r="6" spans="1:25" ht="15.5" x14ac:dyDescent="0.35">
      <c r="A6" s="2308"/>
      <c r="B6" s="2308"/>
      <c r="C6" s="2308"/>
      <c r="D6" s="2308"/>
      <c r="E6" s="2308"/>
      <c r="F6" s="2308"/>
      <c r="G6" s="2308"/>
      <c r="H6" s="2346"/>
      <c r="I6" s="2346"/>
      <c r="J6" s="2346"/>
    </row>
    <row r="7" spans="1:25" ht="15.5" x14ac:dyDescent="0.35">
      <c r="A7" s="2308"/>
      <c r="B7" s="2308"/>
      <c r="C7" s="2308"/>
      <c r="D7" s="2308"/>
      <c r="E7" s="2308"/>
      <c r="F7" s="2309"/>
      <c r="G7" s="2308"/>
      <c r="H7" s="2346"/>
      <c r="I7" s="2346"/>
      <c r="J7" s="2347" t="s">
        <v>813</v>
      </c>
    </row>
    <row r="8" spans="1:25" ht="15.5" x14ac:dyDescent="0.35">
      <c r="A8" s="2308"/>
      <c r="B8" s="2308"/>
      <c r="C8" s="2308"/>
      <c r="D8" s="2308"/>
      <c r="E8" s="2308"/>
      <c r="F8" s="2309"/>
      <c r="G8" s="2308"/>
      <c r="H8" s="2346"/>
      <c r="I8" s="2346"/>
      <c r="J8" s="2347" t="s">
        <v>797</v>
      </c>
    </row>
    <row r="9" spans="1:25" ht="15.5" x14ac:dyDescent="0.35">
      <c r="A9" s="2308"/>
      <c r="B9" s="2308"/>
      <c r="C9" s="2308"/>
      <c r="D9" s="2308"/>
      <c r="E9" s="2308"/>
      <c r="F9" s="2309"/>
      <c r="G9" s="2308"/>
      <c r="H9" s="2346"/>
      <c r="I9" s="2348"/>
      <c r="J9" s="2310" t="s">
        <v>449</v>
      </c>
    </row>
    <row r="10" spans="1:25" ht="15.5" x14ac:dyDescent="0.35">
      <c r="A10" s="2308"/>
      <c r="B10" s="2308"/>
      <c r="C10" s="2308"/>
      <c r="D10" s="2308"/>
      <c r="E10" s="2308"/>
      <c r="F10" s="2309"/>
      <c r="G10" s="2308"/>
      <c r="H10" s="2346"/>
      <c r="I10" s="2346"/>
      <c r="J10" s="2310" t="s">
        <v>448</v>
      </c>
    </row>
    <row r="11" spans="1:25" ht="12.65" customHeight="1" x14ac:dyDescent="0.3">
      <c r="A11" s="2308"/>
      <c r="B11" s="2308"/>
      <c r="C11" s="2308"/>
      <c r="D11" s="2308"/>
      <c r="E11" s="2308"/>
      <c r="F11" s="2311"/>
      <c r="G11" s="2308"/>
      <c r="H11" s="3284" t="s">
        <v>1103</v>
      </c>
      <c r="I11" s="3284"/>
      <c r="J11" s="3284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308"/>
      <c r="B12" s="2308"/>
      <c r="C12" s="2308"/>
      <c r="D12" s="2308"/>
      <c r="E12" s="2308"/>
      <c r="F12" s="2312"/>
      <c r="G12" s="2308"/>
      <c r="H12" s="2346"/>
      <c r="I12" s="2346"/>
      <c r="J12" s="2346"/>
    </row>
    <row r="13" spans="1:25" ht="18" hidden="1" customHeight="1" x14ac:dyDescent="0.3">
      <c r="A13" s="2308"/>
      <c r="B13" s="2313"/>
      <c r="C13" s="2314"/>
      <c r="D13" s="2315"/>
      <c r="E13" s="2316"/>
      <c r="F13" s="2316"/>
      <c r="G13" s="2316"/>
      <c r="H13" s="2308"/>
      <c r="I13" s="2308"/>
      <c r="J13" s="2308"/>
    </row>
    <row r="14" spans="1:25" ht="24" customHeight="1" x14ac:dyDescent="0.3">
      <c r="A14" s="2308"/>
      <c r="B14" s="3609" t="s">
        <v>983</v>
      </c>
      <c r="C14" s="3609"/>
      <c r="D14" s="3609"/>
      <c r="E14" s="3609"/>
      <c r="F14" s="3609"/>
      <c r="G14" s="3609"/>
      <c r="H14" s="3609"/>
      <c r="I14" s="3609"/>
      <c r="J14" s="3609"/>
    </row>
    <row r="15" spans="1:25" ht="20.149999999999999" customHeight="1" x14ac:dyDescent="0.35">
      <c r="A15" s="3493" t="s">
        <v>869</v>
      </c>
      <c r="B15" s="3493"/>
      <c r="C15" s="3493"/>
      <c r="D15" s="3493"/>
      <c r="E15" s="3493"/>
      <c r="F15" s="3493"/>
      <c r="G15" s="3493"/>
      <c r="H15" s="3493"/>
      <c r="I15" s="3493"/>
      <c r="J15" s="3493"/>
      <c r="K15" s="2271"/>
    </row>
    <row r="16" spans="1:25" ht="15.75" customHeight="1" x14ac:dyDescent="0.35">
      <c r="A16" s="3024" t="s">
        <v>992</v>
      </c>
      <c r="B16" s="3024"/>
      <c r="C16" s="3024"/>
      <c r="D16" s="3024"/>
      <c r="E16" s="3024"/>
      <c r="F16" s="3024"/>
      <c r="G16" s="3024"/>
      <c r="H16" s="3024"/>
      <c r="I16" s="3024"/>
      <c r="J16" s="302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308"/>
      <c r="B17" s="2317"/>
      <c r="C17" s="2318"/>
      <c r="D17" s="2318"/>
      <c r="E17" s="2319"/>
      <c r="F17" s="2319"/>
      <c r="G17" s="2320"/>
      <c r="H17" s="2308"/>
      <c r="I17" s="2308"/>
      <c r="J17" s="2320" t="s">
        <v>979</v>
      </c>
    </row>
    <row r="18" spans="1:10" ht="34.5" customHeight="1" x14ac:dyDescent="0.3">
      <c r="A18" s="2308"/>
      <c r="B18" s="2321" t="s">
        <v>611</v>
      </c>
      <c r="C18" s="2322" t="s">
        <v>980</v>
      </c>
      <c r="D18" s="2322" t="s">
        <v>609</v>
      </c>
      <c r="E18" s="2322" t="s">
        <v>608</v>
      </c>
      <c r="F18" s="2322" t="s">
        <v>607</v>
      </c>
      <c r="G18" s="2322" t="s">
        <v>606</v>
      </c>
      <c r="H18" s="2322" t="s">
        <v>981</v>
      </c>
      <c r="I18" s="2322" t="s">
        <v>982</v>
      </c>
      <c r="J18" s="2323" t="s">
        <v>1042</v>
      </c>
    </row>
    <row r="19" spans="1:10" ht="123" customHeight="1" x14ac:dyDescent="0.3">
      <c r="A19" s="2308"/>
      <c r="B19" s="2324">
        <v>1</v>
      </c>
      <c r="C19" s="2325" t="s">
        <v>987</v>
      </c>
      <c r="D19" s="2326" t="s">
        <v>452</v>
      </c>
      <c r="E19" s="2326" t="s">
        <v>539</v>
      </c>
      <c r="F19" s="2326" t="s">
        <v>214</v>
      </c>
      <c r="G19" s="2326"/>
      <c r="H19" s="2327">
        <f>H20</f>
        <v>2322.3869999999997</v>
      </c>
      <c r="I19" s="2327">
        <f>I20</f>
        <v>1331.5219999999999</v>
      </c>
      <c r="J19" s="2328">
        <f>J20</f>
        <v>383.2</v>
      </c>
    </row>
    <row r="20" spans="1:10" s="2272" customFormat="1" ht="55" customHeight="1" x14ac:dyDescent="0.35">
      <c r="A20" s="2329"/>
      <c r="B20" s="2330"/>
      <c r="C20" s="2331" t="s">
        <v>988</v>
      </c>
      <c r="D20" s="2326" t="s">
        <v>452</v>
      </c>
      <c r="E20" s="2326" t="s">
        <v>539</v>
      </c>
      <c r="F20" s="2326" t="s">
        <v>984</v>
      </c>
      <c r="G20" s="2332"/>
      <c r="H20" s="2333">
        <f>H21+H23</f>
        <v>2322.3869999999997</v>
      </c>
      <c r="I20" s="2333">
        <f>I21+I23</f>
        <v>1331.5219999999999</v>
      </c>
      <c r="J20" s="2334">
        <f>J21+J23</f>
        <v>383.2</v>
      </c>
    </row>
    <row r="21" spans="1:10" s="2272" customFormat="1" ht="33.75" customHeight="1" x14ac:dyDescent="0.35">
      <c r="A21" s="2329"/>
      <c r="B21" s="2330"/>
      <c r="C21" s="2331" t="s">
        <v>1152</v>
      </c>
      <c r="D21" s="2326" t="s">
        <v>452</v>
      </c>
      <c r="E21" s="2326" t="s">
        <v>539</v>
      </c>
      <c r="F21" s="2326" t="s">
        <v>984</v>
      </c>
      <c r="G21" s="2335" t="s">
        <v>1</v>
      </c>
      <c r="H21" s="2333">
        <f>766.4+832.9</f>
        <v>1599.3</v>
      </c>
      <c r="I21" s="2333">
        <v>766.4</v>
      </c>
      <c r="J21" s="2334">
        <v>383.2</v>
      </c>
    </row>
    <row r="22" spans="1:10" s="2272" customFormat="1" ht="33.75" customHeight="1" x14ac:dyDescent="0.35">
      <c r="A22" s="2329"/>
      <c r="B22" s="2330"/>
      <c r="C22" s="2331" t="s">
        <v>619</v>
      </c>
      <c r="D22" s="2326" t="s">
        <v>452</v>
      </c>
      <c r="E22" s="2326" t="s">
        <v>539</v>
      </c>
      <c r="F22" s="2326" t="s">
        <v>213</v>
      </c>
      <c r="G22" s="2335"/>
      <c r="H22" s="2333">
        <f>H23</f>
        <v>723.08699999999999</v>
      </c>
      <c r="I22" s="2333">
        <f>I23</f>
        <v>565.12199999999996</v>
      </c>
      <c r="J22" s="2334">
        <f>J23</f>
        <v>0</v>
      </c>
    </row>
    <row r="23" spans="1:10" s="2272" customFormat="1" ht="52.5" customHeight="1" x14ac:dyDescent="0.35">
      <c r="A23" s="2329"/>
      <c r="B23" s="2330"/>
      <c r="C23" s="2331" t="s">
        <v>1153</v>
      </c>
      <c r="D23" s="2326" t="s">
        <v>452</v>
      </c>
      <c r="E23" s="2326" t="s">
        <v>539</v>
      </c>
      <c r="F23" s="2326" t="s">
        <v>213</v>
      </c>
      <c r="G23" s="2335" t="s">
        <v>1</v>
      </c>
      <c r="H23" s="2333">
        <v>723.08699999999999</v>
      </c>
      <c r="I23" s="2333">
        <v>565.12199999999996</v>
      </c>
      <c r="J23" s="2334">
        <v>0</v>
      </c>
    </row>
    <row r="24" spans="1:10" s="2272" customFormat="1" ht="52.5" hidden="1" customHeight="1" x14ac:dyDescent="0.35">
      <c r="A24" s="2329"/>
      <c r="B24" s="2336"/>
      <c r="C24" s="2337"/>
      <c r="D24" s="2326" t="s">
        <v>452</v>
      </c>
      <c r="E24" s="2326" t="s">
        <v>539</v>
      </c>
      <c r="F24" s="2326" t="s">
        <v>205</v>
      </c>
      <c r="G24" s="2335" t="s">
        <v>1</v>
      </c>
      <c r="H24" s="2338"/>
      <c r="I24" s="2338"/>
      <c r="J24" s="2339"/>
    </row>
    <row r="25" spans="1:10" ht="30" customHeight="1" thickBot="1" x14ac:dyDescent="0.35">
      <c r="A25" s="2308"/>
      <c r="B25" s="2340"/>
      <c r="C25" s="2341" t="s">
        <v>314</v>
      </c>
      <c r="D25" s="2342"/>
      <c r="E25" s="2343"/>
      <c r="F25" s="2343"/>
      <c r="G25" s="2343"/>
      <c r="H25" s="2344">
        <f>H19</f>
        <v>2322.3869999999997</v>
      </c>
      <c r="I25" s="2344">
        <f>I19</f>
        <v>1331.5219999999999</v>
      </c>
      <c r="J25" s="2345">
        <f>J19</f>
        <v>383.2</v>
      </c>
    </row>
    <row r="26" spans="1:10" ht="13" x14ac:dyDescent="0.3">
      <c r="A26" s="2308"/>
      <c r="B26" s="2308"/>
      <c r="C26" s="2308"/>
      <c r="D26" s="2308"/>
      <c r="E26" s="2308"/>
      <c r="F26" s="2308"/>
      <c r="G26" s="2308"/>
      <c r="H26" s="2308"/>
      <c r="I26" s="2308"/>
      <c r="J26" s="2308"/>
    </row>
    <row r="27" spans="1:10" ht="13" x14ac:dyDescent="0.3">
      <c r="A27" s="2308"/>
      <c r="B27" s="2308"/>
      <c r="C27" s="2308"/>
      <c r="D27" s="2308"/>
      <c r="E27" s="2308"/>
      <c r="F27" s="2308"/>
      <c r="G27" s="2308"/>
      <c r="H27" s="2308"/>
      <c r="I27" s="2308"/>
      <c r="J27" s="2308"/>
    </row>
    <row r="28" spans="1:10" x14ac:dyDescent="0.25">
      <c r="E28" s="2273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1640625" defaultRowHeight="12.5" x14ac:dyDescent="0.25"/>
  <cols>
    <col min="1" max="1" width="2.81640625" style="2270" customWidth="1"/>
    <col min="2" max="2" width="6.1796875" style="2270" customWidth="1"/>
    <col min="3" max="3" width="70.26953125" style="2270" customWidth="1"/>
    <col min="4" max="4" width="6.453125" style="2270" customWidth="1"/>
    <col min="5" max="5" width="6.7265625" style="2270" customWidth="1"/>
    <col min="6" max="6" width="18.26953125" style="2270" customWidth="1"/>
    <col min="7" max="7" width="16.54296875" style="2270" customWidth="1"/>
    <col min="8" max="9" width="15.7265625" style="2270" customWidth="1"/>
    <col min="10" max="10" width="14.54296875" style="2270" customWidth="1"/>
    <col min="11" max="246" width="8.81640625" style="2270"/>
    <col min="247" max="247" width="40.1796875" style="2270" customWidth="1"/>
    <col min="248" max="248" width="37" style="2270" customWidth="1"/>
    <col min="249" max="249" width="17.453125" style="2270" customWidth="1"/>
    <col min="250" max="250" width="19.453125" style="2270" customWidth="1"/>
    <col min="251" max="251" width="0" style="2270" hidden="1" customWidth="1"/>
    <col min="252" max="252" width="21.7265625" style="2270" customWidth="1"/>
    <col min="253" max="253" width="71" style="2270" customWidth="1"/>
    <col min="254" max="255" width="0" style="2270" hidden="1" customWidth="1"/>
    <col min="256" max="256" width="13.7265625" style="2270" customWidth="1"/>
    <col min="257" max="502" width="8.81640625" style="2270"/>
    <col min="503" max="503" width="40.1796875" style="2270" customWidth="1"/>
    <col min="504" max="504" width="37" style="2270" customWidth="1"/>
    <col min="505" max="505" width="17.453125" style="2270" customWidth="1"/>
    <col min="506" max="506" width="19.453125" style="2270" customWidth="1"/>
    <col min="507" max="507" width="0" style="2270" hidden="1" customWidth="1"/>
    <col min="508" max="508" width="21.7265625" style="2270" customWidth="1"/>
    <col min="509" max="509" width="71" style="2270" customWidth="1"/>
    <col min="510" max="511" width="0" style="2270" hidden="1" customWidth="1"/>
    <col min="512" max="512" width="13.7265625" style="2270" customWidth="1"/>
    <col min="513" max="758" width="8.81640625" style="2270"/>
    <col min="759" max="759" width="40.1796875" style="2270" customWidth="1"/>
    <col min="760" max="760" width="37" style="2270" customWidth="1"/>
    <col min="761" max="761" width="17.453125" style="2270" customWidth="1"/>
    <col min="762" max="762" width="19.453125" style="2270" customWidth="1"/>
    <col min="763" max="763" width="0" style="2270" hidden="1" customWidth="1"/>
    <col min="764" max="764" width="21.7265625" style="2270" customWidth="1"/>
    <col min="765" max="765" width="71" style="2270" customWidth="1"/>
    <col min="766" max="767" width="0" style="2270" hidden="1" customWidth="1"/>
    <col min="768" max="768" width="13.7265625" style="2270" customWidth="1"/>
    <col min="769" max="1014" width="8.81640625" style="2270"/>
    <col min="1015" max="1015" width="40.1796875" style="2270" customWidth="1"/>
    <col min="1016" max="1016" width="37" style="2270" customWidth="1"/>
    <col min="1017" max="1017" width="17.453125" style="2270" customWidth="1"/>
    <col min="1018" max="1018" width="19.453125" style="2270" customWidth="1"/>
    <col min="1019" max="1019" width="0" style="2270" hidden="1" customWidth="1"/>
    <col min="1020" max="1020" width="21.7265625" style="2270" customWidth="1"/>
    <col min="1021" max="1021" width="71" style="2270" customWidth="1"/>
    <col min="1022" max="1023" width="0" style="2270" hidden="1" customWidth="1"/>
    <col min="1024" max="1024" width="13.7265625" style="2270" customWidth="1"/>
    <col min="1025" max="1270" width="8.81640625" style="2270"/>
    <col min="1271" max="1271" width="40.1796875" style="2270" customWidth="1"/>
    <col min="1272" max="1272" width="37" style="2270" customWidth="1"/>
    <col min="1273" max="1273" width="17.453125" style="2270" customWidth="1"/>
    <col min="1274" max="1274" width="19.453125" style="2270" customWidth="1"/>
    <col min="1275" max="1275" width="0" style="2270" hidden="1" customWidth="1"/>
    <col min="1276" max="1276" width="21.7265625" style="2270" customWidth="1"/>
    <col min="1277" max="1277" width="71" style="2270" customWidth="1"/>
    <col min="1278" max="1279" width="0" style="2270" hidden="1" customWidth="1"/>
    <col min="1280" max="1280" width="13.7265625" style="2270" customWidth="1"/>
    <col min="1281" max="1526" width="8.81640625" style="2270"/>
    <col min="1527" max="1527" width="40.1796875" style="2270" customWidth="1"/>
    <col min="1528" max="1528" width="37" style="2270" customWidth="1"/>
    <col min="1529" max="1529" width="17.453125" style="2270" customWidth="1"/>
    <col min="1530" max="1530" width="19.453125" style="2270" customWidth="1"/>
    <col min="1531" max="1531" width="0" style="2270" hidden="1" customWidth="1"/>
    <col min="1532" max="1532" width="21.7265625" style="2270" customWidth="1"/>
    <col min="1533" max="1533" width="71" style="2270" customWidth="1"/>
    <col min="1534" max="1535" width="0" style="2270" hidden="1" customWidth="1"/>
    <col min="1536" max="1536" width="13.7265625" style="2270" customWidth="1"/>
    <col min="1537" max="1782" width="8.81640625" style="2270"/>
    <col min="1783" max="1783" width="40.1796875" style="2270" customWidth="1"/>
    <col min="1784" max="1784" width="37" style="2270" customWidth="1"/>
    <col min="1785" max="1785" width="17.453125" style="2270" customWidth="1"/>
    <col min="1786" max="1786" width="19.453125" style="2270" customWidth="1"/>
    <col min="1787" max="1787" width="0" style="2270" hidden="1" customWidth="1"/>
    <col min="1788" max="1788" width="21.7265625" style="2270" customWidth="1"/>
    <col min="1789" max="1789" width="71" style="2270" customWidth="1"/>
    <col min="1790" max="1791" width="0" style="2270" hidden="1" customWidth="1"/>
    <col min="1792" max="1792" width="13.7265625" style="2270" customWidth="1"/>
    <col min="1793" max="2038" width="8.81640625" style="2270"/>
    <col min="2039" max="2039" width="40.1796875" style="2270" customWidth="1"/>
    <col min="2040" max="2040" width="37" style="2270" customWidth="1"/>
    <col min="2041" max="2041" width="17.453125" style="2270" customWidth="1"/>
    <col min="2042" max="2042" width="19.453125" style="2270" customWidth="1"/>
    <col min="2043" max="2043" width="0" style="2270" hidden="1" customWidth="1"/>
    <col min="2044" max="2044" width="21.7265625" style="2270" customWidth="1"/>
    <col min="2045" max="2045" width="71" style="2270" customWidth="1"/>
    <col min="2046" max="2047" width="0" style="2270" hidden="1" customWidth="1"/>
    <col min="2048" max="2048" width="13.7265625" style="2270" customWidth="1"/>
    <col min="2049" max="2294" width="8.81640625" style="2270"/>
    <col min="2295" max="2295" width="40.1796875" style="2270" customWidth="1"/>
    <col min="2296" max="2296" width="37" style="2270" customWidth="1"/>
    <col min="2297" max="2297" width="17.453125" style="2270" customWidth="1"/>
    <col min="2298" max="2298" width="19.453125" style="2270" customWidth="1"/>
    <col min="2299" max="2299" width="0" style="2270" hidden="1" customWidth="1"/>
    <col min="2300" max="2300" width="21.7265625" style="2270" customWidth="1"/>
    <col min="2301" max="2301" width="71" style="2270" customWidth="1"/>
    <col min="2302" max="2303" width="0" style="2270" hidden="1" customWidth="1"/>
    <col min="2304" max="2304" width="13.7265625" style="2270" customWidth="1"/>
    <col min="2305" max="2550" width="8.81640625" style="2270"/>
    <col min="2551" max="2551" width="40.1796875" style="2270" customWidth="1"/>
    <col min="2552" max="2552" width="37" style="2270" customWidth="1"/>
    <col min="2553" max="2553" width="17.453125" style="2270" customWidth="1"/>
    <col min="2554" max="2554" width="19.453125" style="2270" customWidth="1"/>
    <col min="2555" max="2555" width="0" style="2270" hidden="1" customWidth="1"/>
    <col min="2556" max="2556" width="21.7265625" style="2270" customWidth="1"/>
    <col min="2557" max="2557" width="71" style="2270" customWidth="1"/>
    <col min="2558" max="2559" width="0" style="2270" hidden="1" customWidth="1"/>
    <col min="2560" max="2560" width="13.7265625" style="2270" customWidth="1"/>
    <col min="2561" max="2806" width="8.81640625" style="2270"/>
    <col min="2807" max="2807" width="40.1796875" style="2270" customWidth="1"/>
    <col min="2808" max="2808" width="37" style="2270" customWidth="1"/>
    <col min="2809" max="2809" width="17.453125" style="2270" customWidth="1"/>
    <col min="2810" max="2810" width="19.453125" style="2270" customWidth="1"/>
    <col min="2811" max="2811" width="0" style="2270" hidden="1" customWidth="1"/>
    <col min="2812" max="2812" width="21.7265625" style="2270" customWidth="1"/>
    <col min="2813" max="2813" width="71" style="2270" customWidth="1"/>
    <col min="2814" max="2815" width="0" style="2270" hidden="1" customWidth="1"/>
    <col min="2816" max="2816" width="13.7265625" style="2270" customWidth="1"/>
    <col min="2817" max="3062" width="8.81640625" style="2270"/>
    <col min="3063" max="3063" width="40.1796875" style="2270" customWidth="1"/>
    <col min="3064" max="3064" width="37" style="2270" customWidth="1"/>
    <col min="3065" max="3065" width="17.453125" style="2270" customWidth="1"/>
    <col min="3066" max="3066" width="19.453125" style="2270" customWidth="1"/>
    <col min="3067" max="3067" width="0" style="2270" hidden="1" customWidth="1"/>
    <col min="3068" max="3068" width="21.7265625" style="2270" customWidth="1"/>
    <col min="3069" max="3069" width="71" style="2270" customWidth="1"/>
    <col min="3070" max="3071" width="0" style="2270" hidden="1" customWidth="1"/>
    <col min="3072" max="3072" width="13.7265625" style="2270" customWidth="1"/>
    <col min="3073" max="3318" width="8.81640625" style="2270"/>
    <col min="3319" max="3319" width="40.1796875" style="2270" customWidth="1"/>
    <col min="3320" max="3320" width="37" style="2270" customWidth="1"/>
    <col min="3321" max="3321" width="17.453125" style="2270" customWidth="1"/>
    <col min="3322" max="3322" width="19.453125" style="2270" customWidth="1"/>
    <col min="3323" max="3323" width="0" style="2270" hidden="1" customWidth="1"/>
    <col min="3324" max="3324" width="21.7265625" style="2270" customWidth="1"/>
    <col min="3325" max="3325" width="71" style="2270" customWidth="1"/>
    <col min="3326" max="3327" width="0" style="2270" hidden="1" customWidth="1"/>
    <col min="3328" max="3328" width="13.7265625" style="2270" customWidth="1"/>
    <col min="3329" max="3574" width="8.81640625" style="2270"/>
    <col min="3575" max="3575" width="40.1796875" style="2270" customWidth="1"/>
    <col min="3576" max="3576" width="37" style="2270" customWidth="1"/>
    <col min="3577" max="3577" width="17.453125" style="2270" customWidth="1"/>
    <col min="3578" max="3578" width="19.453125" style="2270" customWidth="1"/>
    <col min="3579" max="3579" width="0" style="2270" hidden="1" customWidth="1"/>
    <col min="3580" max="3580" width="21.7265625" style="2270" customWidth="1"/>
    <col min="3581" max="3581" width="71" style="2270" customWidth="1"/>
    <col min="3582" max="3583" width="0" style="2270" hidden="1" customWidth="1"/>
    <col min="3584" max="3584" width="13.7265625" style="2270" customWidth="1"/>
    <col min="3585" max="3830" width="8.81640625" style="2270"/>
    <col min="3831" max="3831" width="40.1796875" style="2270" customWidth="1"/>
    <col min="3832" max="3832" width="37" style="2270" customWidth="1"/>
    <col min="3833" max="3833" width="17.453125" style="2270" customWidth="1"/>
    <col min="3834" max="3834" width="19.453125" style="2270" customWidth="1"/>
    <col min="3835" max="3835" width="0" style="2270" hidden="1" customWidth="1"/>
    <col min="3836" max="3836" width="21.7265625" style="2270" customWidth="1"/>
    <col min="3837" max="3837" width="71" style="2270" customWidth="1"/>
    <col min="3838" max="3839" width="0" style="2270" hidden="1" customWidth="1"/>
    <col min="3840" max="3840" width="13.7265625" style="2270" customWidth="1"/>
    <col min="3841" max="4086" width="8.81640625" style="2270"/>
    <col min="4087" max="4087" width="40.1796875" style="2270" customWidth="1"/>
    <col min="4088" max="4088" width="37" style="2270" customWidth="1"/>
    <col min="4089" max="4089" width="17.453125" style="2270" customWidth="1"/>
    <col min="4090" max="4090" width="19.453125" style="2270" customWidth="1"/>
    <col min="4091" max="4091" width="0" style="2270" hidden="1" customWidth="1"/>
    <col min="4092" max="4092" width="21.7265625" style="2270" customWidth="1"/>
    <col min="4093" max="4093" width="71" style="2270" customWidth="1"/>
    <col min="4094" max="4095" width="0" style="2270" hidden="1" customWidth="1"/>
    <col min="4096" max="4096" width="13.7265625" style="2270" customWidth="1"/>
    <col min="4097" max="4342" width="8.81640625" style="2270"/>
    <col min="4343" max="4343" width="40.1796875" style="2270" customWidth="1"/>
    <col min="4344" max="4344" width="37" style="2270" customWidth="1"/>
    <col min="4345" max="4345" width="17.453125" style="2270" customWidth="1"/>
    <col min="4346" max="4346" width="19.453125" style="2270" customWidth="1"/>
    <col min="4347" max="4347" width="0" style="2270" hidden="1" customWidth="1"/>
    <col min="4348" max="4348" width="21.7265625" style="2270" customWidth="1"/>
    <col min="4349" max="4349" width="71" style="2270" customWidth="1"/>
    <col min="4350" max="4351" width="0" style="2270" hidden="1" customWidth="1"/>
    <col min="4352" max="4352" width="13.7265625" style="2270" customWidth="1"/>
    <col min="4353" max="4598" width="8.81640625" style="2270"/>
    <col min="4599" max="4599" width="40.1796875" style="2270" customWidth="1"/>
    <col min="4600" max="4600" width="37" style="2270" customWidth="1"/>
    <col min="4601" max="4601" width="17.453125" style="2270" customWidth="1"/>
    <col min="4602" max="4602" width="19.453125" style="2270" customWidth="1"/>
    <col min="4603" max="4603" width="0" style="2270" hidden="1" customWidth="1"/>
    <col min="4604" max="4604" width="21.7265625" style="2270" customWidth="1"/>
    <col min="4605" max="4605" width="71" style="2270" customWidth="1"/>
    <col min="4606" max="4607" width="0" style="2270" hidden="1" customWidth="1"/>
    <col min="4608" max="4608" width="13.7265625" style="2270" customWidth="1"/>
    <col min="4609" max="4854" width="8.81640625" style="2270"/>
    <col min="4855" max="4855" width="40.1796875" style="2270" customWidth="1"/>
    <col min="4856" max="4856" width="37" style="2270" customWidth="1"/>
    <col min="4857" max="4857" width="17.453125" style="2270" customWidth="1"/>
    <col min="4858" max="4858" width="19.453125" style="2270" customWidth="1"/>
    <col min="4859" max="4859" width="0" style="2270" hidden="1" customWidth="1"/>
    <col min="4860" max="4860" width="21.7265625" style="2270" customWidth="1"/>
    <col min="4861" max="4861" width="71" style="2270" customWidth="1"/>
    <col min="4862" max="4863" width="0" style="2270" hidden="1" customWidth="1"/>
    <col min="4864" max="4864" width="13.7265625" style="2270" customWidth="1"/>
    <col min="4865" max="5110" width="8.81640625" style="2270"/>
    <col min="5111" max="5111" width="40.1796875" style="2270" customWidth="1"/>
    <col min="5112" max="5112" width="37" style="2270" customWidth="1"/>
    <col min="5113" max="5113" width="17.453125" style="2270" customWidth="1"/>
    <col min="5114" max="5114" width="19.453125" style="2270" customWidth="1"/>
    <col min="5115" max="5115" width="0" style="2270" hidden="1" customWidth="1"/>
    <col min="5116" max="5116" width="21.7265625" style="2270" customWidth="1"/>
    <col min="5117" max="5117" width="71" style="2270" customWidth="1"/>
    <col min="5118" max="5119" width="0" style="2270" hidden="1" customWidth="1"/>
    <col min="5120" max="5120" width="13.7265625" style="2270" customWidth="1"/>
    <col min="5121" max="5366" width="8.81640625" style="2270"/>
    <col min="5367" max="5367" width="40.1796875" style="2270" customWidth="1"/>
    <col min="5368" max="5368" width="37" style="2270" customWidth="1"/>
    <col min="5369" max="5369" width="17.453125" style="2270" customWidth="1"/>
    <col min="5370" max="5370" width="19.453125" style="2270" customWidth="1"/>
    <col min="5371" max="5371" width="0" style="2270" hidden="1" customWidth="1"/>
    <col min="5372" max="5372" width="21.7265625" style="2270" customWidth="1"/>
    <col min="5373" max="5373" width="71" style="2270" customWidth="1"/>
    <col min="5374" max="5375" width="0" style="2270" hidden="1" customWidth="1"/>
    <col min="5376" max="5376" width="13.7265625" style="2270" customWidth="1"/>
    <col min="5377" max="5622" width="8.81640625" style="2270"/>
    <col min="5623" max="5623" width="40.1796875" style="2270" customWidth="1"/>
    <col min="5624" max="5624" width="37" style="2270" customWidth="1"/>
    <col min="5625" max="5625" width="17.453125" style="2270" customWidth="1"/>
    <col min="5626" max="5626" width="19.453125" style="2270" customWidth="1"/>
    <col min="5627" max="5627" width="0" style="2270" hidden="1" customWidth="1"/>
    <col min="5628" max="5628" width="21.7265625" style="2270" customWidth="1"/>
    <col min="5629" max="5629" width="71" style="2270" customWidth="1"/>
    <col min="5630" max="5631" width="0" style="2270" hidden="1" customWidth="1"/>
    <col min="5632" max="5632" width="13.7265625" style="2270" customWidth="1"/>
    <col min="5633" max="5878" width="8.81640625" style="2270"/>
    <col min="5879" max="5879" width="40.1796875" style="2270" customWidth="1"/>
    <col min="5880" max="5880" width="37" style="2270" customWidth="1"/>
    <col min="5881" max="5881" width="17.453125" style="2270" customWidth="1"/>
    <col min="5882" max="5882" width="19.453125" style="2270" customWidth="1"/>
    <col min="5883" max="5883" width="0" style="2270" hidden="1" customWidth="1"/>
    <col min="5884" max="5884" width="21.7265625" style="2270" customWidth="1"/>
    <col min="5885" max="5885" width="71" style="2270" customWidth="1"/>
    <col min="5886" max="5887" width="0" style="2270" hidden="1" customWidth="1"/>
    <col min="5888" max="5888" width="13.7265625" style="2270" customWidth="1"/>
    <col min="5889" max="6134" width="8.81640625" style="2270"/>
    <col min="6135" max="6135" width="40.1796875" style="2270" customWidth="1"/>
    <col min="6136" max="6136" width="37" style="2270" customWidth="1"/>
    <col min="6137" max="6137" width="17.453125" style="2270" customWidth="1"/>
    <col min="6138" max="6138" width="19.453125" style="2270" customWidth="1"/>
    <col min="6139" max="6139" width="0" style="2270" hidden="1" customWidth="1"/>
    <col min="6140" max="6140" width="21.7265625" style="2270" customWidth="1"/>
    <col min="6141" max="6141" width="71" style="2270" customWidth="1"/>
    <col min="6142" max="6143" width="0" style="2270" hidden="1" customWidth="1"/>
    <col min="6144" max="6144" width="13.7265625" style="2270" customWidth="1"/>
    <col min="6145" max="6390" width="8.81640625" style="2270"/>
    <col min="6391" max="6391" width="40.1796875" style="2270" customWidth="1"/>
    <col min="6392" max="6392" width="37" style="2270" customWidth="1"/>
    <col min="6393" max="6393" width="17.453125" style="2270" customWidth="1"/>
    <col min="6394" max="6394" width="19.453125" style="2270" customWidth="1"/>
    <col min="6395" max="6395" width="0" style="2270" hidden="1" customWidth="1"/>
    <col min="6396" max="6396" width="21.7265625" style="2270" customWidth="1"/>
    <col min="6397" max="6397" width="71" style="2270" customWidth="1"/>
    <col min="6398" max="6399" width="0" style="2270" hidden="1" customWidth="1"/>
    <col min="6400" max="6400" width="13.7265625" style="2270" customWidth="1"/>
    <col min="6401" max="6646" width="8.81640625" style="2270"/>
    <col min="6647" max="6647" width="40.1796875" style="2270" customWidth="1"/>
    <col min="6648" max="6648" width="37" style="2270" customWidth="1"/>
    <col min="6649" max="6649" width="17.453125" style="2270" customWidth="1"/>
    <col min="6650" max="6650" width="19.453125" style="2270" customWidth="1"/>
    <col min="6651" max="6651" width="0" style="2270" hidden="1" customWidth="1"/>
    <col min="6652" max="6652" width="21.7265625" style="2270" customWidth="1"/>
    <col min="6653" max="6653" width="71" style="2270" customWidth="1"/>
    <col min="6654" max="6655" width="0" style="2270" hidden="1" customWidth="1"/>
    <col min="6656" max="6656" width="13.7265625" style="2270" customWidth="1"/>
    <col min="6657" max="6902" width="8.81640625" style="2270"/>
    <col min="6903" max="6903" width="40.1796875" style="2270" customWidth="1"/>
    <col min="6904" max="6904" width="37" style="2270" customWidth="1"/>
    <col min="6905" max="6905" width="17.453125" style="2270" customWidth="1"/>
    <col min="6906" max="6906" width="19.453125" style="2270" customWidth="1"/>
    <col min="6907" max="6907" width="0" style="2270" hidden="1" customWidth="1"/>
    <col min="6908" max="6908" width="21.7265625" style="2270" customWidth="1"/>
    <col min="6909" max="6909" width="71" style="2270" customWidth="1"/>
    <col min="6910" max="6911" width="0" style="2270" hidden="1" customWidth="1"/>
    <col min="6912" max="6912" width="13.7265625" style="2270" customWidth="1"/>
    <col min="6913" max="7158" width="8.81640625" style="2270"/>
    <col min="7159" max="7159" width="40.1796875" style="2270" customWidth="1"/>
    <col min="7160" max="7160" width="37" style="2270" customWidth="1"/>
    <col min="7161" max="7161" width="17.453125" style="2270" customWidth="1"/>
    <col min="7162" max="7162" width="19.453125" style="2270" customWidth="1"/>
    <col min="7163" max="7163" width="0" style="2270" hidden="1" customWidth="1"/>
    <col min="7164" max="7164" width="21.7265625" style="2270" customWidth="1"/>
    <col min="7165" max="7165" width="71" style="2270" customWidth="1"/>
    <col min="7166" max="7167" width="0" style="2270" hidden="1" customWidth="1"/>
    <col min="7168" max="7168" width="13.7265625" style="2270" customWidth="1"/>
    <col min="7169" max="7414" width="8.81640625" style="2270"/>
    <col min="7415" max="7415" width="40.1796875" style="2270" customWidth="1"/>
    <col min="7416" max="7416" width="37" style="2270" customWidth="1"/>
    <col min="7417" max="7417" width="17.453125" style="2270" customWidth="1"/>
    <col min="7418" max="7418" width="19.453125" style="2270" customWidth="1"/>
    <col min="7419" max="7419" width="0" style="2270" hidden="1" customWidth="1"/>
    <col min="7420" max="7420" width="21.7265625" style="2270" customWidth="1"/>
    <col min="7421" max="7421" width="71" style="2270" customWidth="1"/>
    <col min="7422" max="7423" width="0" style="2270" hidden="1" customWidth="1"/>
    <col min="7424" max="7424" width="13.7265625" style="2270" customWidth="1"/>
    <col min="7425" max="7670" width="8.81640625" style="2270"/>
    <col min="7671" max="7671" width="40.1796875" style="2270" customWidth="1"/>
    <col min="7672" max="7672" width="37" style="2270" customWidth="1"/>
    <col min="7673" max="7673" width="17.453125" style="2270" customWidth="1"/>
    <col min="7674" max="7674" width="19.453125" style="2270" customWidth="1"/>
    <col min="7675" max="7675" width="0" style="2270" hidden="1" customWidth="1"/>
    <col min="7676" max="7676" width="21.7265625" style="2270" customWidth="1"/>
    <col min="7677" max="7677" width="71" style="2270" customWidth="1"/>
    <col min="7678" max="7679" width="0" style="2270" hidden="1" customWidth="1"/>
    <col min="7680" max="7680" width="13.7265625" style="2270" customWidth="1"/>
    <col min="7681" max="7926" width="8.81640625" style="2270"/>
    <col min="7927" max="7927" width="40.1796875" style="2270" customWidth="1"/>
    <col min="7928" max="7928" width="37" style="2270" customWidth="1"/>
    <col min="7929" max="7929" width="17.453125" style="2270" customWidth="1"/>
    <col min="7930" max="7930" width="19.453125" style="2270" customWidth="1"/>
    <col min="7931" max="7931" width="0" style="2270" hidden="1" customWidth="1"/>
    <col min="7932" max="7932" width="21.7265625" style="2270" customWidth="1"/>
    <col min="7933" max="7933" width="71" style="2270" customWidth="1"/>
    <col min="7934" max="7935" width="0" style="2270" hidden="1" customWidth="1"/>
    <col min="7936" max="7936" width="13.7265625" style="2270" customWidth="1"/>
    <col min="7937" max="8182" width="8.81640625" style="2270"/>
    <col min="8183" max="8183" width="40.1796875" style="2270" customWidth="1"/>
    <col min="8184" max="8184" width="37" style="2270" customWidth="1"/>
    <col min="8185" max="8185" width="17.453125" style="2270" customWidth="1"/>
    <col min="8186" max="8186" width="19.453125" style="2270" customWidth="1"/>
    <col min="8187" max="8187" width="0" style="2270" hidden="1" customWidth="1"/>
    <col min="8188" max="8188" width="21.7265625" style="2270" customWidth="1"/>
    <col min="8189" max="8189" width="71" style="2270" customWidth="1"/>
    <col min="8190" max="8191" width="0" style="2270" hidden="1" customWidth="1"/>
    <col min="8192" max="8192" width="13.7265625" style="2270" customWidth="1"/>
    <col min="8193" max="8438" width="8.81640625" style="2270"/>
    <col min="8439" max="8439" width="40.1796875" style="2270" customWidth="1"/>
    <col min="8440" max="8440" width="37" style="2270" customWidth="1"/>
    <col min="8441" max="8441" width="17.453125" style="2270" customWidth="1"/>
    <col min="8442" max="8442" width="19.453125" style="2270" customWidth="1"/>
    <col min="8443" max="8443" width="0" style="2270" hidden="1" customWidth="1"/>
    <col min="8444" max="8444" width="21.7265625" style="2270" customWidth="1"/>
    <col min="8445" max="8445" width="71" style="2270" customWidth="1"/>
    <col min="8446" max="8447" width="0" style="2270" hidden="1" customWidth="1"/>
    <col min="8448" max="8448" width="13.7265625" style="2270" customWidth="1"/>
    <col min="8449" max="8694" width="8.81640625" style="2270"/>
    <col min="8695" max="8695" width="40.1796875" style="2270" customWidth="1"/>
    <col min="8696" max="8696" width="37" style="2270" customWidth="1"/>
    <col min="8697" max="8697" width="17.453125" style="2270" customWidth="1"/>
    <col min="8698" max="8698" width="19.453125" style="2270" customWidth="1"/>
    <col min="8699" max="8699" width="0" style="2270" hidden="1" customWidth="1"/>
    <col min="8700" max="8700" width="21.7265625" style="2270" customWidth="1"/>
    <col min="8701" max="8701" width="71" style="2270" customWidth="1"/>
    <col min="8702" max="8703" width="0" style="2270" hidden="1" customWidth="1"/>
    <col min="8704" max="8704" width="13.7265625" style="2270" customWidth="1"/>
    <col min="8705" max="8950" width="8.81640625" style="2270"/>
    <col min="8951" max="8951" width="40.1796875" style="2270" customWidth="1"/>
    <col min="8952" max="8952" width="37" style="2270" customWidth="1"/>
    <col min="8953" max="8953" width="17.453125" style="2270" customWidth="1"/>
    <col min="8954" max="8954" width="19.453125" style="2270" customWidth="1"/>
    <col min="8955" max="8955" width="0" style="2270" hidden="1" customWidth="1"/>
    <col min="8956" max="8956" width="21.7265625" style="2270" customWidth="1"/>
    <col min="8957" max="8957" width="71" style="2270" customWidth="1"/>
    <col min="8958" max="8959" width="0" style="2270" hidden="1" customWidth="1"/>
    <col min="8960" max="8960" width="13.7265625" style="2270" customWidth="1"/>
    <col min="8961" max="9206" width="8.81640625" style="2270"/>
    <col min="9207" max="9207" width="40.1796875" style="2270" customWidth="1"/>
    <col min="9208" max="9208" width="37" style="2270" customWidth="1"/>
    <col min="9209" max="9209" width="17.453125" style="2270" customWidth="1"/>
    <col min="9210" max="9210" width="19.453125" style="2270" customWidth="1"/>
    <col min="9211" max="9211" width="0" style="2270" hidden="1" customWidth="1"/>
    <col min="9212" max="9212" width="21.7265625" style="2270" customWidth="1"/>
    <col min="9213" max="9213" width="71" style="2270" customWidth="1"/>
    <col min="9214" max="9215" width="0" style="2270" hidden="1" customWidth="1"/>
    <col min="9216" max="9216" width="13.7265625" style="2270" customWidth="1"/>
    <col min="9217" max="9462" width="8.81640625" style="2270"/>
    <col min="9463" max="9463" width="40.1796875" style="2270" customWidth="1"/>
    <col min="9464" max="9464" width="37" style="2270" customWidth="1"/>
    <col min="9465" max="9465" width="17.453125" style="2270" customWidth="1"/>
    <col min="9466" max="9466" width="19.453125" style="2270" customWidth="1"/>
    <col min="9467" max="9467" width="0" style="2270" hidden="1" customWidth="1"/>
    <col min="9468" max="9468" width="21.7265625" style="2270" customWidth="1"/>
    <col min="9469" max="9469" width="71" style="2270" customWidth="1"/>
    <col min="9470" max="9471" width="0" style="2270" hidden="1" customWidth="1"/>
    <col min="9472" max="9472" width="13.7265625" style="2270" customWidth="1"/>
    <col min="9473" max="9718" width="8.81640625" style="2270"/>
    <col min="9719" max="9719" width="40.1796875" style="2270" customWidth="1"/>
    <col min="9720" max="9720" width="37" style="2270" customWidth="1"/>
    <col min="9721" max="9721" width="17.453125" style="2270" customWidth="1"/>
    <col min="9722" max="9722" width="19.453125" style="2270" customWidth="1"/>
    <col min="9723" max="9723" width="0" style="2270" hidden="1" customWidth="1"/>
    <col min="9724" max="9724" width="21.7265625" style="2270" customWidth="1"/>
    <col min="9725" max="9725" width="71" style="2270" customWidth="1"/>
    <col min="9726" max="9727" width="0" style="2270" hidden="1" customWidth="1"/>
    <col min="9728" max="9728" width="13.7265625" style="2270" customWidth="1"/>
    <col min="9729" max="9974" width="8.81640625" style="2270"/>
    <col min="9975" max="9975" width="40.1796875" style="2270" customWidth="1"/>
    <col min="9976" max="9976" width="37" style="2270" customWidth="1"/>
    <col min="9977" max="9977" width="17.453125" style="2270" customWidth="1"/>
    <col min="9978" max="9978" width="19.453125" style="2270" customWidth="1"/>
    <col min="9979" max="9979" width="0" style="2270" hidden="1" customWidth="1"/>
    <col min="9980" max="9980" width="21.7265625" style="2270" customWidth="1"/>
    <col min="9981" max="9981" width="71" style="2270" customWidth="1"/>
    <col min="9982" max="9983" width="0" style="2270" hidden="1" customWidth="1"/>
    <col min="9984" max="9984" width="13.7265625" style="2270" customWidth="1"/>
    <col min="9985" max="10230" width="8.81640625" style="2270"/>
    <col min="10231" max="10231" width="40.1796875" style="2270" customWidth="1"/>
    <col min="10232" max="10232" width="37" style="2270" customWidth="1"/>
    <col min="10233" max="10233" width="17.453125" style="2270" customWidth="1"/>
    <col min="10234" max="10234" width="19.453125" style="2270" customWidth="1"/>
    <col min="10235" max="10235" width="0" style="2270" hidden="1" customWidth="1"/>
    <col min="10236" max="10236" width="21.7265625" style="2270" customWidth="1"/>
    <col min="10237" max="10237" width="71" style="2270" customWidth="1"/>
    <col min="10238" max="10239" width="0" style="2270" hidden="1" customWidth="1"/>
    <col min="10240" max="10240" width="13.7265625" style="2270" customWidth="1"/>
    <col min="10241" max="10486" width="8.81640625" style="2270"/>
    <col min="10487" max="10487" width="40.1796875" style="2270" customWidth="1"/>
    <col min="10488" max="10488" width="37" style="2270" customWidth="1"/>
    <col min="10489" max="10489" width="17.453125" style="2270" customWidth="1"/>
    <col min="10490" max="10490" width="19.453125" style="2270" customWidth="1"/>
    <col min="10491" max="10491" width="0" style="2270" hidden="1" customWidth="1"/>
    <col min="10492" max="10492" width="21.7265625" style="2270" customWidth="1"/>
    <col min="10493" max="10493" width="71" style="2270" customWidth="1"/>
    <col min="10494" max="10495" width="0" style="2270" hidden="1" customWidth="1"/>
    <col min="10496" max="10496" width="13.7265625" style="2270" customWidth="1"/>
    <col min="10497" max="10742" width="8.81640625" style="2270"/>
    <col min="10743" max="10743" width="40.1796875" style="2270" customWidth="1"/>
    <col min="10744" max="10744" width="37" style="2270" customWidth="1"/>
    <col min="10745" max="10745" width="17.453125" style="2270" customWidth="1"/>
    <col min="10746" max="10746" width="19.453125" style="2270" customWidth="1"/>
    <col min="10747" max="10747" width="0" style="2270" hidden="1" customWidth="1"/>
    <col min="10748" max="10748" width="21.7265625" style="2270" customWidth="1"/>
    <col min="10749" max="10749" width="71" style="2270" customWidth="1"/>
    <col min="10750" max="10751" width="0" style="2270" hidden="1" customWidth="1"/>
    <col min="10752" max="10752" width="13.7265625" style="2270" customWidth="1"/>
    <col min="10753" max="10998" width="8.81640625" style="2270"/>
    <col min="10999" max="10999" width="40.1796875" style="2270" customWidth="1"/>
    <col min="11000" max="11000" width="37" style="2270" customWidth="1"/>
    <col min="11001" max="11001" width="17.453125" style="2270" customWidth="1"/>
    <col min="11002" max="11002" width="19.453125" style="2270" customWidth="1"/>
    <col min="11003" max="11003" width="0" style="2270" hidden="1" customWidth="1"/>
    <col min="11004" max="11004" width="21.7265625" style="2270" customWidth="1"/>
    <col min="11005" max="11005" width="71" style="2270" customWidth="1"/>
    <col min="11006" max="11007" width="0" style="2270" hidden="1" customWidth="1"/>
    <col min="11008" max="11008" width="13.7265625" style="2270" customWidth="1"/>
    <col min="11009" max="11254" width="8.81640625" style="2270"/>
    <col min="11255" max="11255" width="40.1796875" style="2270" customWidth="1"/>
    <col min="11256" max="11256" width="37" style="2270" customWidth="1"/>
    <col min="11257" max="11257" width="17.453125" style="2270" customWidth="1"/>
    <col min="11258" max="11258" width="19.453125" style="2270" customWidth="1"/>
    <col min="11259" max="11259" width="0" style="2270" hidden="1" customWidth="1"/>
    <col min="11260" max="11260" width="21.7265625" style="2270" customWidth="1"/>
    <col min="11261" max="11261" width="71" style="2270" customWidth="1"/>
    <col min="11262" max="11263" width="0" style="2270" hidden="1" customWidth="1"/>
    <col min="11264" max="11264" width="13.7265625" style="2270" customWidth="1"/>
    <col min="11265" max="11510" width="8.81640625" style="2270"/>
    <col min="11511" max="11511" width="40.1796875" style="2270" customWidth="1"/>
    <col min="11512" max="11512" width="37" style="2270" customWidth="1"/>
    <col min="11513" max="11513" width="17.453125" style="2270" customWidth="1"/>
    <col min="11514" max="11514" width="19.453125" style="2270" customWidth="1"/>
    <col min="11515" max="11515" width="0" style="2270" hidden="1" customWidth="1"/>
    <col min="11516" max="11516" width="21.7265625" style="2270" customWidth="1"/>
    <col min="11517" max="11517" width="71" style="2270" customWidth="1"/>
    <col min="11518" max="11519" width="0" style="2270" hidden="1" customWidth="1"/>
    <col min="11520" max="11520" width="13.7265625" style="2270" customWidth="1"/>
    <col min="11521" max="11766" width="8.81640625" style="2270"/>
    <col min="11767" max="11767" width="40.1796875" style="2270" customWidth="1"/>
    <col min="11768" max="11768" width="37" style="2270" customWidth="1"/>
    <col min="11769" max="11769" width="17.453125" style="2270" customWidth="1"/>
    <col min="11770" max="11770" width="19.453125" style="2270" customWidth="1"/>
    <col min="11771" max="11771" width="0" style="2270" hidden="1" customWidth="1"/>
    <col min="11772" max="11772" width="21.7265625" style="2270" customWidth="1"/>
    <col min="11773" max="11773" width="71" style="2270" customWidth="1"/>
    <col min="11774" max="11775" width="0" style="2270" hidden="1" customWidth="1"/>
    <col min="11776" max="11776" width="13.7265625" style="2270" customWidth="1"/>
    <col min="11777" max="12022" width="8.81640625" style="2270"/>
    <col min="12023" max="12023" width="40.1796875" style="2270" customWidth="1"/>
    <col min="12024" max="12024" width="37" style="2270" customWidth="1"/>
    <col min="12025" max="12025" width="17.453125" style="2270" customWidth="1"/>
    <col min="12026" max="12026" width="19.453125" style="2270" customWidth="1"/>
    <col min="12027" max="12027" width="0" style="2270" hidden="1" customWidth="1"/>
    <col min="12028" max="12028" width="21.7265625" style="2270" customWidth="1"/>
    <col min="12029" max="12029" width="71" style="2270" customWidth="1"/>
    <col min="12030" max="12031" width="0" style="2270" hidden="1" customWidth="1"/>
    <col min="12032" max="12032" width="13.7265625" style="2270" customWidth="1"/>
    <col min="12033" max="12278" width="8.81640625" style="2270"/>
    <col min="12279" max="12279" width="40.1796875" style="2270" customWidth="1"/>
    <col min="12280" max="12280" width="37" style="2270" customWidth="1"/>
    <col min="12281" max="12281" width="17.453125" style="2270" customWidth="1"/>
    <col min="12282" max="12282" width="19.453125" style="2270" customWidth="1"/>
    <col min="12283" max="12283" width="0" style="2270" hidden="1" customWidth="1"/>
    <col min="12284" max="12284" width="21.7265625" style="2270" customWidth="1"/>
    <col min="12285" max="12285" width="71" style="2270" customWidth="1"/>
    <col min="12286" max="12287" width="0" style="2270" hidden="1" customWidth="1"/>
    <col min="12288" max="12288" width="13.7265625" style="2270" customWidth="1"/>
    <col min="12289" max="12534" width="8.81640625" style="2270"/>
    <col min="12535" max="12535" width="40.1796875" style="2270" customWidth="1"/>
    <col min="12536" max="12536" width="37" style="2270" customWidth="1"/>
    <col min="12537" max="12537" width="17.453125" style="2270" customWidth="1"/>
    <col min="12538" max="12538" width="19.453125" style="2270" customWidth="1"/>
    <col min="12539" max="12539" width="0" style="2270" hidden="1" customWidth="1"/>
    <col min="12540" max="12540" width="21.7265625" style="2270" customWidth="1"/>
    <col min="12541" max="12541" width="71" style="2270" customWidth="1"/>
    <col min="12542" max="12543" width="0" style="2270" hidden="1" customWidth="1"/>
    <col min="12544" max="12544" width="13.7265625" style="2270" customWidth="1"/>
    <col min="12545" max="12790" width="8.81640625" style="2270"/>
    <col min="12791" max="12791" width="40.1796875" style="2270" customWidth="1"/>
    <col min="12792" max="12792" width="37" style="2270" customWidth="1"/>
    <col min="12793" max="12793" width="17.453125" style="2270" customWidth="1"/>
    <col min="12794" max="12794" width="19.453125" style="2270" customWidth="1"/>
    <col min="12795" max="12795" width="0" style="2270" hidden="1" customWidth="1"/>
    <col min="12796" max="12796" width="21.7265625" style="2270" customWidth="1"/>
    <col min="12797" max="12797" width="71" style="2270" customWidth="1"/>
    <col min="12798" max="12799" width="0" style="2270" hidden="1" customWidth="1"/>
    <col min="12800" max="12800" width="13.7265625" style="2270" customWidth="1"/>
    <col min="12801" max="13046" width="8.81640625" style="2270"/>
    <col min="13047" max="13047" width="40.1796875" style="2270" customWidth="1"/>
    <col min="13048" max="13048" width="37" style="2270" customWidth="1"/>
    <col min="13049" max="13049" width="17.453125" style="2270" customWidth="1"/>
    <col min="13050" max="13050" width="19.453125" style="2270" customWidth="1"/>
    <col min="13051" max="13051" width="0" style="2270" hidden="1" customWidth="1"/>
    <col min="13052" max="13052" width="21.7265625" style="2270" customWidth="1"/>
    <col min="13053" max="13053" width="71" style="2270" customWidth="1"/>
    <col min="13054" max="13055" width="0" style="2270" hidden="1" customWidth="1"/>
    <col min="13056" max="13056" width="13.7265625" style="2270" customWidth="1"/>
    <col min="13057" max="13302" width="8.81640625" style="2270"/>
    <col min="13303" max="13303" width="40.1796875" style="2270" customWidth="1"/>
    <col min="13304" max="13304" width="37" style="2270" customWidth="1"/>
    <col min="13305" max="13305" width="17.453125" style="2270" customWidth="1"/>
    <col min="13306" max="13306" width="19.453125" style="2270" customWidth="1"/>
    <col min="13307" max="13307" width="0" style="2270" hidden="1" customWidth="1"/>
    <col min="13308" max="13308" width="21.7265625" style="2270" customWidth="1"/>
    <col min="13309" max="13309" width="71" style="2270" customWidth="1"/>
    <col min="13310" max="13311" width="0" style="2270" hidden="1" customWidth="1"/>
    <col min="13312" max="13312" width="13.7265625" style="2270" customWidth="1"/>
    <col min="13313" max="13558" width="8.81640625" style="2270"/>
    <col min="13559" max="13559" width="40.1796875" style="2270" customWidth="1"/>
    <col min="13560" max="13560" width="37" style="2270" customWidth="1"/>
    <col min="13561" max="13561" width="17.453125" style="2270" customWidth="1"/>
    <col min="13562" max="13562" width="19.453125" style="2270" customWidth="1"/>
    <col min="13563" max="13563" width="0" style="2270" hidden="1" customWidth="1"/>
    <col min="13564" max="13564" width="21.7265625" style="2270" customWidth="1"/>
    <col min="13565" max="13565" width="71" style="2270" customWidth="1"/>
    <col min="13566" max="13567" width="0" style="2270" hidden="1" customWidth="1"/>
    <col min="13568" max="13568" width="13.7265625" style="2270" customWidth="1"/>
    <col min="13569" max="13814" width="8.81640625" style="2270"/>
    <col min="13815" max="13815" width="40.1796875" style="2270" customWidth="1"/>
    <col min="13816" max="13816" width="37" style="2270" customWidth="1"/>
    <col min="13817" max="13817" width="17.453125" style="2270" customWidth="1"/>
    <col min="13818" max="13818" width="19.453125" style="2270" customWidth="1"/>
    <col min="13819" max="13819" width="0" style="2270" hidden="1" customWidth="1"/>
    <col min="13820" max="13820" width="21.7265625" style="2270" customWidth="1"/>
    <col min="13821" max="13821" width="71" style="2270" customWidth="1"/>
    <col min="13822" max="13823" width="0" style="2270" hidden="1" customWidth="1"/>
    <col min="13824" max="13824" width="13.7265625" style="2270" customWidth="1"/>
    <col min="13825" max="14070" width="8.81640625" style="2270"/>
    <col min="14071" max="14071" width="40.1796875" style="2270" customWidth="1"/>
    <col min="14072" max="14072" width="37" style="2270" customWidth="1"/>
    <col min="14073" max="14073" width="17.453125" style="2270" customWidth="1"/>
    <col min="14074" max="14074" width="19.453125" style="2270" customWidth="1"/>
    <col min="14075" max="14075" width="0" style="2270" hidden="1" customWidth="1"/>
    <col min="14076" max="14076" width="21.7265625" style="2270" customWidth="1"/>
    <col min="14077" max="14077" width="71" style="2270" customWidth="1"/>
    <col min="14078" max="14079" width="0" style="2270" hidden="1" customWidth="1"/>
    <col min="14080" max="14080" width="13.7265625" style="2270" customWidth="1"/>
    <col min="14081" max="14326" width="8.81640625" style="2270"/>
    <col min="14327" max="14327" width="40.1796875" style="2270" customWidth="1"/>
    <col min="14328" max="14328" width="37" style="2270" customWidth="1"/>
    <col min="14329" max="14329" width="17.453125" style="2270" customWidth="1"/>
    <col min="14330" max="14330" width="19.453125" style="2270" customWidth="1"/>
    <col min="14331" max="14331" width="0" style="2270" hidden="1" customWidth="1"/>
    <col min="14332" max="14332" width="21.7265625" style="2270" customWidth="1"/>
    <col min="14333" max="14333" width="71" style="2270" customWidth="1"/>
    <col min="14334" max="14335" width="0" style="2270" hidden="1" customWidth="1"/>
    <col min="14336" max="14336" width="13.7265625" style="2270" customWidth="1"/>
    <col min="14337" max="14582" width="8.81640625" style="2270"/>
    <col min="14583" max="14583" width="40.1796875" style="2270" customWidth="1"/>
    <col min="14584" max="14584" width="37" style="2270" customWidth="1"/>
    <col min="14585" max="14585" width="17.453125" style="2270" customWidth="1"/>
    <col min="14586" max="14586" width="19.453125" style="2270" customWidth="1"/>
    <col min="14587" max="14587" width="0" style="2270" hidden="1" customWidth="1"/>
    <col min="14588" max="14588" width="21.7265625" style="2270" customWidth="1"/>
    <col min="14589" max="14589" width="71" style="2270" customWidth="1"/>
    <col min="14590" max="14591" width="0" style="2270" hidden="1" customWidth="1"/>
    <col min="14592" max="14592" width="13.7265625" style="2270" customWidth="1"/>
    <col min="14593" max="14838" width="8.81640625" style="2270"/>
    <col min="14839" max="14839" width="40.1796875" style="2270" customWidth="1"/>
    <col min="14840" max="14840" width="37" style="2270" customWidth="1"/>
    <col min="14841" max="14841" width="17.453125" style="2270" customWidth="1"/>
    <col min="14842" max="14842" width="19.453125" style="2270" customWidth="1"/>
    <col min="14843" max="14843" width="0" style="2270" hidden="1" customWidth="1"/>
    <col min="14844" max="14844" width="21.7265625" style="2270" customWidth="1"/>
    <col min="14845" max="14845" width="71" style="2270" customWidth="1"/>
    <col min="14846" max="14847" width="0" style="2270" hidden="1" customWidth="1"/>
    <col min="14848" max="14848" width="13.7265625" style="2270" customWidth="1"/>
    <col min="14849" max="15094" width="8.81640625" style="2270"/>
    <col min="15095" max="15095" width="40.1796875" style="2270" customWidth="1"/>
    <col min="15096" max="15096" width="37" style="2270" customWidth="1"/>
    <col min="15097" max="15097" width="17.453125" style="2270" customWidth="1"/>
    <col min="15098" max="15098" width="19.453125" style="2270" customWidth="1"/>
    <col min="15099" max="15099" width="0" style="2270" hidden="1" customWidth="1"/>
    <col min="15100" max="15100" width="21.7265625" style="2270" customWidth="1"/>
    <col min="15101" max="15101" width="71" style="2270" customWidth="1"/>
    <col min="15102" max="15103" width="0" style="2270" hidden="1" customWidth="1"/>
    <col min="15104" max="15104" width="13.7265625" style="2270" customWidth="1"/>
    <col min="15105" max="15350" width="8.81640625" style="2270"/>
    <col min="15351" max="15351" width="40.1796875" style="2270" customWidth="1"/>
    <col min="15352" max="15352" width="37" style="2270" customWidth="1"/>
    <col min="15353" max="15353" width="17.453125" style="2270" customWidth="1"/>
    <col min="15354" max="15354" width="19.453125" style="2270" customWidth="1"/>
    <col min="15355" max="15355" width="0" style="2270" hidden="1" customWidth="1"/>
    <col min="15356" max="15356" width="21.7265625" style="2270" customWidth="1"/>
    <col min="15357" max="15357" width="71" style="2270" customWidth="1"/>
    <col min="15358" max="15359" width="0" style="2270" hidden="1" customWidth="1"/>
    <col min="15360" max="15360" width="13.7265625" style="2270" customWidth="1"/>
    <col min="15361" max="15606" width="8.81640625" style="2270"/>
    <col min="15607" max="15607" width="40.1796875" style="2270" customWidth="1"/>
    <col min="15608" max="15608" width="37" style="2270" customWidth="1"/>
    <col min="15609" max="15609" width="17.453125" style="2270" customWidth="1"/>
    <col min="15610" max="15610" width="19.453125" style="2270" customWidth="1"/>
    <col min="15611" max="15611" width="0" style="2270" hidden="1" customWidth="1"/>
    <col min="15612" max="15612" width="21.7265625" style="2270" customWidth="1"/>
    <col min="15613" max="15613" width="71" style="2270" customWidth="1"/>
    <col min="15614" max="15615" width="0" style="2270" hidden="1" customWidth="1"/>
    <col min="15616" max="15616" width="13.7265625" style="2270" customWidth="1"/>
    <col min="15617" max="15862" width="8.81640625" style="2270"/>
    <col min="15863" max="15863" width="40.1796875" style="2270" customWidth="1"/>
    <col min="15864" max="15864" width="37" style="2270" customWidth="1"/>
    <col min="15865" max="15865" width="17.453125" style="2270" customWidth="1"/>
    <col min="15866" max="15866" width="19.453125" style="2270" customWidth="1"/>
    <col min="15867" max="15867" width="0" style="2270" hidden="1" customWidth="1"/>
    <col min="15868" max="15868" width="21.7265625" style="2270" customWidth="1"/>
    <col min="15869" max="15869" width="71" style="2270" customWidth="1"/>
    <col min="15870" max="15871" width="0" style="2270" hidden="1" customWidth="1"/>
    <col min="15872" max="15872" width="13.7265625" style="2270" customWidth="1"/>
    <col min="15873" max="16118" width="8.81640625" style="2270"/>
    <col min="16119" max="16119" width="40.1796875" style="2270" customWidth="1"/>
    <col min="16120" max="16120" width="37" style="2270" customWidth="1"/>
    <col min="16121" max="16121" width="17.453125" style="2270" customWidth="1"/>
    <col min="16122" max="16122" width="19.453125" style="2270" customWidth="1"/>
    <col min="16123" max="16123" width="0" style="2270" hidden="1" customWidth="1"/>
    <col min="16124" max="16124" width="21.7265625" style="2270" customWidth="1"/>
    <col min="16125" max="16125" width="71" style="2270" customWidth="1"/>
    <col min="16126" max="16127" width="0" style="2270" hidden="1" customWidth="1"/>
    <col min="16128" max="16128" width="13.7265625" style="2270" customWidth="1"/>
    <col min="16129" max="16384" width="8.81640625" style="2270"/>
  </cols>
  <sheetData>
    <row r="1" spans="1:25" ht="15.5" hidden="1" x14ac:dyDescent="0.35">
      <c r="A1" s="2308"/>
      <c r="B1" s="2308"/>
      <c r="C1" s="2308"/>
      <c r="D1" s="2308"/>
      <c r="E1" s="2308"/>
      <c r="F1" s="2308"/>
      <c r="G1" s="2308"/>
      <c r="H1" s="3494" t="s">
        <v>792</v>
      </c>
      <c r="I1" s="3494"/>
      <c r="J1" s="3494"/>
    </row>
    <row r="2" spans="1:25" ht="15.5" hidden="1" x14ac:dyDescent="0.35">
      <c r="A2" s="2308"/>
      <c r="B2" s="2308"/>
      <c r="C2" s="2308"/>
      <c r="D2" s="2308"/>
      <c r="E2" s="2308"/>
      <c r="F2" s="2308"/>
      <c r="G2" s="2308"/>
      <c r="H2" s="3494" t="s">
        <v>450</v>
      </c>
      <c r="I2" s="3494"/>
      <c r="J2" s="3494"/>
    </row>
    <row r="3" spans="1:25" ht="15.5" hidden="1" x14ac:dyDescent="0.35">
      <c r="A3" s="2308"/>
      <c r="B3" s="2308"/>
      <c r="C3" s="2308"/>
      <c r="D3" s="2308"/>
      <c r="E3" s="2308"/>
      <c r="F3" s="2308"/>
      <c r="G3" s="2308"/>
      <c r="H3" s="3494" t="s">
        <v>449</v>
      </c>
      <c r="I3" s="3494"/>
      <c r="J3" s="3494"/>
    </row>
    <row r="4" spans="1:25" ht="15.5" hidden="1" x14ac:dyDescent="0.35">
      <c r="A4" s="2308"/>
      <c r="B4" s="2308"/>
      <c r="C4" s="2308"/>
      <c r="D4" s="2308"/>
      <c r="E4" s="2308"/>
      <c r="F4" s="2308"/>
      <c r="G4" s="2308"/>
      <c r="H4" s="3494" t="s">
        <v>448</v>
      </c>
      <c r="I4" s="3494"/>
      <c r="J4" s="3494"/>
    </row>
    <row r="5" spans="1:25" ht="15.5" hidden="1" x14ac:dyDescent="0.35">
      <c r="A5" s="2308"/>
      <c r="B5" s="2308"/>
      <c r="C5" s="2308"/>
      <c r="D5" s="2308"/>
      <c r="E5" s="2308"/>
      <c r="F5" s="2308"/>
      <c r="G5" s="2308"/>
      <c r="H5" s="3494" t="s">
        <v>1200</v>
      </c>
      <c r="I5" s="3494"/>
      <c r="J5" s="3494"/>
    </row>
    <row r="6" spans="1:25" ht="15.5" hidden="1" x14ac:dyDescent="0.35">
      <c r="A6" s="2308"/>
      <c r="B6" s="2308"/>
      <c r="C6" s="2308"/>
      <c r="D6" s="2308"/>
      <c r="E6" s="2308"/>
      <c r="F6" s="2308"/>
      <c r="G6" s="2308"/>
      <c r="H6" s="2346"/>
      <c r="I6" s="2346"/>
      <c r="J6" s="2346"/>
    </row>
    <row r="7" spans="1:25" ht="15.5" x14ac:dyDescent="0.35">
      <c r="A7" s="2308"/>
      <c r="B7" s="2308"/>
      <c r="C7" s="2308"/>
      <c r="D7" s="2308"/>
      <c r="E7" s="2308"/>
      <c r="F7" s="2309"/>
      <c r="G7" s="2308"/>
      <c r="H7" s="2346"/>
      <c r="I7" s="2346"/>
      <c r="J7" s="2347" t="s">
        <v>813</v>
      </c>
    </row>
    <row r="8" spans="1:25" ht="15.5" x14ac:dyDescent="0.35">
      <c r="A8" s="2308"/>
      <c r="B8" s="2308"/>
      <c r="C8" s="2308"/>
      <c r="D8" s="2308"/>
      <c r="E8" s="2308"/>
      <c r="F8" s="2309"/>
      <c r="G8" s="2308"/>
      <c r="H8" s="2346"/>
      <c r="I8" s="2346"/>
      <c r="J8" s="2347" t="s">
        <v>797</v>
      </c>
    </row>
    <row r="9" spans="1:25" ht="15.5" x14ac:dyDescent="0.35">
      <c r="A9" s="2308"/>
      <c r="B9" s="2308"/>
      <c r="C9" s="2308"/>
      <c r="D9" s="2308"/>
      <c r="E9" s="2308"/>
      <c r="F9" s="2309"/>
      <c r="G9" s="2308"/>
      <c r="H9" s="2346"/>
      <c r="I9" s="2348"/>
      <c r="J9" s="2398" t="s">
        <v>449</v>
      </c>
    </row>
    <row r="10" spans="1:25" ht="15.5" x14ac:dyDescent="0.35">
      <c r="A10" s="2308"/>
      <c r="B10" s="2308"/>
      <c r="C10" s="2308"/>
      <c r="D10" s="2308"/>
      <c r="E10" s="2308"/>
      <c r="F10" s="2309"/>
      <c r="G10" s="2308"/>
      <c r="H10" s="2346"/>
      <c r="I10" s="2346"/>
      <c r="J10" s="2398" t="s">
        <v>448</v>
      </c>
    </row>
    <row r="11" spans="1:25" ht="12.65" customHeight="1" x14ac:dyDescent="0.3">
      <c r="A11" s="2308"/>
      <c r="B11" s="2308"/>
      <c r="C11" s="2308"/>
      <c r="D11" s="2308"/>
      <c r="E11" s="2308"/>
      <c r="F11" s="2311"/>
      <c r="G11" s="2308"/>
      <c r="H11" s="3284" t="s">
        <v>1217</v>
      </c>
      <c r="I11" s="3284"/>
      <c r="J11" s="3284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308"/>
      <c r="B12" s="2308"/>
      <c r="C12" s="2308"/>
      <c r="D12" s="2308"/>
      <c r="E12" s="2308"/>
      <c r="F12" s="2312"/>
      <c r="G12" s="2308"/>
      <c r="H12" s="2346"/>
      <c r="I12" s="2346"/>
      <c r="J12" s="2346"/>
    </row>
    <row r="13" spans="1:25" ht="18" hidden="1" customHeight="1" x14ac:dyDescent="0.3">
      <c r="A13" s="2308"/>
      <c r="B13" s="2313"/>
      <c r="C13" s="2314"/>
      <c r="D13" s="2315"/>
      <c r="E13" s="2316"/>
      <c r="F13" s="2316"/>
      <c r="G13" s="2316"/>
      <c r="H13" s="2308"/>
      <c r="I13" s="2308"/>
      <c r="J13" s="2308"/>
    </row>
    <row r="14" spans="1:25" ht="24" customHeight="1" x14ac:dyDescent="0.3">
      <c r="A14" s="2308"/>
      <c r="B14" s="3492" t="s">
        <v>983</v>
      </c>
      <c r="C14" s="3492"/>
      <c r="D14" s="3492"/>
      <c r="E14" s="3492"/>
      <c r="F14" s="3492"/>
      <c r="G14" s="3492"/>
      <c r="H14" s="3492"/>
      <c r="I14" s="3492"/>
      <c r="J14" s="3492"/>
    </row>
    <row r="15" spans="1:25" ht="20.149999999999999" customHeight="1" x14ac:dyDescent="0.35">
      <c r="A15" s="3493" t="s">
        <v>869</v>
      </c>
      <c r="B15" s="3493"/>
      <c r="C15" s="3493"/>
      <c r="D15" s="3493"/>
      <c r="E15" s="3493"/>
      <c r="F15" s="3493"/>
      <c r="G15" s="3493"/>
      <c r="H15" s="3493"/>
      <c r="I15" s="3493"/>
      <c r="J15" s="3493"/>
      <c r="K15" s="2271"/>
    </row>
    <row r="16" spans="1:25" ht="15.75" customHeight="1" x14ac:dyDescent="0.35">
      <c r="A16" s="3024" t="s">
        <v>1197</v>
      </c>
      <c r="B16" s="3024"/>
      <c r="C16" s="3024"/>
      <c r="D16" s="3024"/>
      <c r="E16" s="3024"/>
      <c r="F16" s="3024"/>
      <c r="G16" s="3024"/>
      <c r="H16" s="3024"/>
      <c r="I16" s="3024"/>
      <c r="J16" s="302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308"/>
      <c r="B17" s="2317"/>
      <c r="C17" s="2366"/>
      <c r="D17" s="2366"/>
      <c r="E17" s="2319"/>
      <c r="F17" s="2319"/>
      <c r="G17" s="2320"/>
      <c r="H17" s="2308"/>
      <c r="I17" s="2308"/>
      <c r="J17" s="2320" t="s">
        <v>979</v>
      </c>
    </row>
    <row r="18" spans="1:10" ht="34.5" customHeight="1" x14ac:dyDescent="0.3">
      <c r="A18" s="2308"/>
      <c r="B18" s="2367" t="s">
        <v>611</v>
      </c>
      <c r="C18" s="2368" t="s">
        <v>980</v>
      </c>
      <c r="D18" s="2368" t="s">
        <v>609</v>
      </c>
      <c r="E18" s="2368" t="s">
        <v>608</v>
      </c>
      <c r="F18" s="2368" t="s">
        <v>607</v>
      </c>
      <c r="G18" s="2368" t="s">
        <v>606</v>
      </c>
      <c r="H18" s="2368" t="s">
        <v>982</v>
      </c>
      <c r="I18" s="2368" t="s">
        <v>1042</v>
      </c>
      <c r="J18" s="2369" t="s">
        <v>1202</v>
      </c>
    </row>
    <row r="19" spans="1:10" ht="123" customHeight="1" x14ac:dyDescent="0.3">
      <c r="A19" s="2308"/>
      <c r="B19" s="2370">
        <v>1</v>
      </c>
      <c r="C19" s="2371" t="s">
        <v>987</v>
      </c>
      <c r="D19" s="2372" t="s">
        <v>452</v>
      </c>
      <c r="E19" s="2372" t="s">
        <v>539</v>
      </c>
      <c r="F19" s="2372" t="s">
        <v>214</v>
      </c>
      <c r="G19" s="2372"/>
      <c r="H19" s="2373">
        <f>H21+H23</f>
        <v>1984</v>
      </c>
      <c r="I19" s="2373">
        <f>I21+I23</f>
        <v>1331.5</v>
      </c>
      <c r="J19" s="2374">
        <f>J20</f>
        <v>948.3</v>
      </c>
    </row>
    <row r="20" spans="1:10" s="2272" customFormat="1" ht="55" customHeight="1" x14ac:dyDescent="0.35">
      <c r="A20" s="2329"/>
      <c r="B20" s="2375"/>
      <c r="C20" s="2376" t="s">
        <v>988</v>
      </c>
      <c r="D20" s="2372" t="s">
        <v>452</v>
      </c>
      <c r="E20" s="2372" t="s">
        <v>539</v>
      </c>
      <c r="F20" s="2372" t="s">
        <v>984</v>
      </c>
      <c r="G20" s="2377"/>
      <c r="H20" s="2378">
        <f>H21</f>
        <v>1600.8</v>
      </c>
      <c r="I20" s="2378">
        <f>I21</f>
        <v>948.3</v>
      </c>
      <c r="J20" s="2379">
        <f>J21+J23</f>
        <v>948.3</v>
      </c>
    </row>
    <row r="21" spans="1:10" s="2272" customFormat="1" ht="41.15" customHeight="1" x14ac:dyDescent="0.35">
      <c r="A21" s="2329"/>
      <c r="B21" s="2375"/>
      <c r="C21" s="2376" t="s">
        <v>1206</v>
      </c>
      <c r="D21" s="2372" t="s">
        <v>452</v>
      </c>
      <c r="E21" s="2372" t="s">
        <v>539</v>
      </c>
      <c r="F21" s="2372" t="s">
        <v>984</v>
      </c>
      <c r="G21" s="2380" t="s">
        <v>1</v>
      </c>
      <c r="H21" s="2378">
        <f>948.3+652.5</f>
        <v>1600.8</v>
      </c>
      <c r="I21" s="2378">
        <v>948.3</v>
      </c>
      <c r="J21" s="2379">
        <v>948.3</v>
      </c>
    </row>
    <row r="22" spans="1:10" s="2272" customFormat="1" ht="33.75" customHeight="1" x14ac:dyDescent="0.35">
      <c r="A22" s="2329"/>
      <c r="B22" s="2375"/>
      <c r="C22" s="2376" t="s">
        <v>619</v>
      </c>
      <c r="D22" s="2372" t="s">
        <v>452</v>
      </c>
      <c r="E22" s="2372" t="s">
        <v>539</v>
      </c>
      <c r="F22" s="2372" t="s">
        <v>213</v>
      </c>
      <c r="G22" s="2380"/>
      <c r="H22" s="2378">
        <f>H23</f>
        <v>383.2</v>
      </c>
      <c r="I22" s="2378">
        <f>I23</f>
        <v>383.2</v>
      </c>
      <c r="J22" s="2379">
        <f>J23</f>
        <v>0</v>
      </c>
    </row>
    <row r="23" spans="1:10" s="2272" customFormat="1" ht="52.5" customHeight="1" x14ac:dyDescent="0.35">
      <c r="A23" s="2329"/>
      <c r="B23" s="2375"/>
      <c r="C23" s="2376" t="s">
        <v>1153</v>
      </c>
      <c r="D23" s="2372" t="s">
        <v>452</v>
      </c>
      <c r="E23" s="2372" t="s">
        <v>539</v>
      </c>
      <c r="F23" s="2372" t="s">
        <v>213</v>
      </c>
      <c r="G23" s="2380" t="s">
        <v>1</v>
      </c>
      <c r="H23" s="2378">
        <v>383.2</v>
      </c>
      <c r="I23" s="2378">
        <v>383.2</v>
      </c>
      <c r="J23" s="2379"/>
    </row>
    <row r="24" spans="1:10" s="2272" customFormat="1" ht="52.5" hidden="1" customHeight="1" x14ac:dyDescent="0.35">
      <c r="A24" s="2329"/>
      <c r="B24" s="2381"/>
      <c r="C24" s="2382"/>
      <c r="D24" s="2372" t="s">
        <v>452</v>
      </c>
      <c r="E24" s="2372" t="s">
        <v>539</v>
      </c>
      <c r="F24" s="2372" t="s">
        <v>205</v>
      </c>
      <c r="G24" s="2380" t="s">
        <v>1</v>
      </c>
      <c r="H24" s="2383"/>
      <c r="I24" s="2383"/>
      <c r="J24" s="2384"/>
    </row>
    <row r="25" spans="1:10" ht="30" customHeight="1" thickBot="1" x14ac:dyDescent="0.35">
      <c r="A25" s="2308"/>
      <c r="B25" s="2340"/>
      <c r="C25" s="2341" t="s">
        <v>314</v>
      </c>
      <c r="D25" s="2342"/>
      <c r="E25" s="2343"/>
      <c r="F25" s="2343"/>
      <c r="G25" s="2343"/>
      <c r="H25" s="2385">
        <f>H19</f>
        <v>1984</v>
      </c>
      <c r="I25" s="2385">
        <f>I19</f>
        <v>1331.5</v>
      </c>
      <c r="J25" s="2386">
        <f>J19</f>
        <v>948.3</v>
      </c>
    </row>
    <row r="26" spans="1:10" ht="13" x14ac:dyDescent="0.3">
      <c r="A26" s="2308"/>
      <c r="B26" s="2308"/>
      <c r="C26" s="2308"/>
      <c r="D26" s="2308"/>
      <c r="E26" s="2308"/>
      <c r="F26" s="2308"/>
      <c r="G26" s="2308"/>
      <c r="H26" s="2308"/>
      <c r="I26" s="2308"/>
      <c r="J26" s="2308"/>
    </row>
    <row r="27" spans="1:10" ht="13" x14ac:dyDescent="0.3">
      <c r="A27" s="2308"/>
      <c r="B27" s="2308"/>
      <c r="C27" s="2308"/>
      <c r="D27" s="2308"/>
      <c r="E27" s="2308"/>
      <c r="F27" s="2308"/>
      <c r="G27" s="2308"/>
      <c r="H27" s="2308"/>
      <c r="I27" s="2308"/>
      <c r="J27" s="2308"/>
    </row>
    <row r="28" spans="1:10" x14ac:dyDescent="0.25">
      <c r="E28" s="2273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3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508" t="s">
        <v>1239</v>
      </c>
      <c r="H1" s="3508"/>
      <c r="I1" s="3508"/>
      <c r="J1" s="3508"/>
    </row>
    <row r="2" spans="1:15" ht="15.5" x14ac:dyDescent="0.35">
      <c r="A2" s="554"/>
      <c r="B2" s="554"/>
      <c r="C2" s="554"/>
      <c r="D2" s="554"/>
      <c r="E2" s="554"/>
      <c r="F2" s="3508" t="s">
        <v>797</v>
      </c>
      <c r="G2" s="3508"/>
      <c r="H2" s="3508"/>
      <c r="I2" s="554"/>
      <c r="J2" s="554"/>
    </row>
    <row r="3" spans="1:15" ht="15.5" x14ac:dyDescent="0.35">
      <c r="A3" s="554"/>
      <c r="B3" s="3508" t="s">
        <v>449</v>
      </c>
      <c r="C3" s="3508"/>
      <c r="D3" s="3508"/>
      <c r="E3" s="3508"/>
      <c r="F3" s="3508"/>
      <c r="G3" s="3508"/>
      <c r="H3" s="3508"/>
      <c r="I3" s="3508"/>
      <c r="J3" s="3508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508" t="s">
        <v>798</v>
      </c>
      <c r="E4" s="3508"/>
      <c r="F4" s="3508"/>
      <c r="G4" s="3508"/>
      <c r="H4" s="3508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3284" t="str">
        <f>'прил2 дох 2022-2024..'!$K$22</f>
        <v xml:space="preserve">    от  "22" декабря  2021 года № 247</v>
      </c>
      <c r="G5" s="3284"/>
      <c r="H5" s="3284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236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236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509"/>
      <c r="B12" s="3509"/>
      <c r="C12" s="3509"/>
      <c r="D12" s="3509"/>
      <c r="E12" s="3509"/>
      <c r="F12" s="3509"/>
    </row>
    <row r="13" spans="1:15" ht="69.75" customHeight="1" x14ac:dyDescent="0.3">
      <c r="A13" s="3507" t="s">
        <v>823</v>
      </c>
      <c r="B13" s="3507"/>
      <c r="C13" s="3507"/>
      <c r="D13" s="3507"/>
      <c r="E13" s="3507"/>
      <c r="F13" s="3507"/>
      <c r="G13" s="3507"/>
      <c r="H13" s="3507"/>
      <c r="I13" s="3507"/>
      <c r="J13" s="3507"/>
      <c r="L13" s="559" t="s">
        <v>106</v>
      </c>
    </row>
    <row r="14" spans="1:15" ht="15" customHeight="1" x14ac:dyDescent="0.3">
      <c r="A14" s="2365"/>
      <c r="B14" s="3507" t="s">
        <v>1229</v>
      </c>
      <c r="C14" s="3507"/>
      <c r="D14" s="3507"/>
      <c r="E14" s="3507"/>
      <c r="F14" s="3507"/>
      <c r="G14" s="3507"/>
      <c r="H14" s="3507"/>
      <c r="I14" s="3507"/>
      <c r="J14" s="3507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505" t="s">
        <v>322</v>
      </c>
      <c r="C16" s="3505"/>
      <c r="D16" s="3505"/>
      <c r="E16" s="3505"/>
      <c r="F16" s="3505"/>
      <c r="G16" s="3505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2" hidden="1" x14ac:dyDescent="0.25">
      <c r="A20" s="571"/>
      <c r="B20" s="2364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5" customHeight="1" x14ac:dyDescent="0.35">
      <c r="A22" s="576"/>
      <c r="B22" s="3502" t="s">
        <v>824</v>
      </c>
      <c r="C22" s="3502"/>
      <c r="D22" s="3502"/>
      <c r="E22" s="3502"/>
      <c r="F22" s="3502"/>
      <c r="G22" s="3502"/>
      <c r="H22" s="2561">
        <v>62.911000000000001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562">
        <v>43.95</v>
      </c>
      <c r="I23" s="578"/>
      <c r="J23" s="579"/>
      <c r="N23" s="1"/>
    </row>
    <row r="24" spans="1:14" s="580" customFormat="1" ht="54.65" customHeight="1" x14ac:dyDescent="0.35">
      <c r="A24" s="576"/>
      <c r="B24" s="3503" t="s">
        <v>826</v>
      </c>
      <c r="C24" s="3503"/>
      <c r="D24" s="3503"/>
      <c r="E24" s="3503"/>
      <c r="F24" s="3503"/>
      <c r="G24" s="3503"/>
      <c r="H24" s="2561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2563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563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504" t="s">
        <v>825</v>
      </c>
      <c r="C27" s="3504"/>
      <c r="D27" s="3504"/>
      <c r="E27" s="3504"/>
      <c r="F27" s="3504"/>
      <c r="G27" s="3504"/>
      <c r="H27" s="2563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563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2563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561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2561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2364" t="s">
        <v>156</v>
      </c>
      <c r="C32" s="715"/>
      <c r="D32" s="669"/>
      <c r="E32" s="669"/>
      <c r="F32" s="714"/>
      <c r="G32" s="716"/>
      <c r="H32" s="2561">
        <f>H33</f>
        <v>449.976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2561">
        <f>H34</f>
        <v>449.976</v>
      </c>
      <c r="I33" s="578"/>
      <c r="J33" s="579"/>
      <c r="N33" s="1"/>
    </row>
    <row r="34" spans="1:14" s="580" customFormat="1" ht="54" customHeight="1" x14ac:dyDescent="0.35">
      <c r="A34" s="576"/>
      <c r="B34" s="3506" t="s">
        <v>586</v>
      </c>
      <c r="C34" s="3506"/>
      <c r="D34" s="3506"/>
      <c r="E34" s="3506"/>
      <c r="F34" s="3506"/>
      <c r="G34" s="3506"/>
      <c r="H34" s="2563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564">
        <v>199.49199999999999</v>
      </c>
      <c r="I35" s="585">
        <v>0</v>
      </c>
      <c r="J35" s="586">
        <v>0</v>
      </c>
      <c r="N35" s="1"/>
    </row>
    <row r="36" spans="1:14" ht="13" x14ac:dyDescent="0.3">
      <c r="B36" s="3501" t="s">
        <v>828</v>
      </c>
      <c r="C36" s="3501"/>
      <c r="D36" s="3501"/>
      <c r="E36" s="3501"/>
      <c r="F36" s="3501"/>
      <c r="G36" s="3501"/>
      <c r="H36" s="2565">
        <f>H22+H24+H27+H34</f>
        <v>822.68700000000001</v>
      </c>
    </row>
    <row r="186" ht="80.5" customHeight="1" x14ac:dyDescent="0.25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topLeftCell="A38" zoomScale="75" zoomScaleNormal="75" workbookViewId="0">
      <selection activeCell="J36" sqref="J36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274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5.5" x14ac:dyDescent="0.35">
      <c r="E1" s="3494" t="s">
        <v>936</v>
      </c>
      <c r="F1" s="3494"/>
      <c r="G1" s="3494"/>
    </row>
    <row r="2" spans="1:18" ht="15.5" x14ac:dyDescent="0.35">
      <c r="E2" s="3494" t="s">
        <v>450</v>
      </c>
      <c r="F2" s="3494"/>
      <c r="G2" s="3494"/>
    </row>
    <row r="3" spans="1:18" ht="15.5" x14ac:dyDescent="0.35">
      <c r="E3" s="3494" t="s">
        <v>449</v>
      </c>
      <c r="F3" s="3494"/>
      <c r="G3" s="3494"/>
    </row>
    <row r="4" spans="1:18" ht="15.5" x14ac:dyDescent="0.35">
      <c r="E4" s="3494" t="s">
        <v>448</v>
      </c>
      <c r="F4" s="3494"/>
      <c r="G4" s="3494"/>
    </row>
    <row r="5" spans="1:18" ht="15.5" x14ac:dyDescent="0.35">
      <c r="E5" s="3494" t="s">
        <v>1378</v>
      </c>
      <c r="F5" s="3494"/>
      <c r="G5" s="3494"/>
    </row>
    <row r="6" spans="1:18" ht="15.5" x14ac:dyDescent="0.35">
      <c r="E6" s="2279"/>
      <c r="F6" s="2279"/>
      <c r="G6" s="2279"/>
    </row>
    <row r="7" spans="1:18" ht="15.5" x14ac:dyDescent="0.35">
      <c r="E7" s="2279"/>
      <c r="F7" s="3657" t="s">
        <v>745</v>
      </c>
      <c r="G7" s="3657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49"/>
      <c r="F8" s="2349"/>
      <c r="G8" s="2310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49"/>
      <c r="F9" s="2349"/>
      <c r="G9" s="2310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49"/>
      <c r="F10" s="2349"/>
      <c r="G10" s="2310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49"/>
      <c r="F11" s="2349"/>
      <c r="G11" s="2307" t="str">
        <f>'прил2 дох 2022-2024..'!$K$22</f>
        <v xml:space="preserve">    от  "22" декабря  2021 года № 247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189"/>
      <c r="F12" s="2189"/>
      <c r="G12" s="2265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3658" t="s">
        <v>868</v>
      </c>
      <c r="B13" s="3658"/>
      <c r="C13" s="3658"/>
      <c r="D13" s="3658"/>
      <c r="E13" s="3658"/>
      <c r="F13" s="3658"/>
      <c r="G13" s="3658"/>
      <c r="H13" s="2275"/>
      <c r="I13" s="2275"/>
      <c r="J13" s="2275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3658" t="s">
        <v>869</v>
      </c>
      <c r="B14" s="3658"/>
      <c r="C14" s="3658"/>
      <c r="D14" s="3658"/>
      <c r="E14" s="3658"/>
      <c r="F14" s="3658"/>
      <c r="G14" s="3658"/>
      <c r="H14" s="2275"/>
      <c r="I14" s="2275"/>
      <c r="J14" s="2275"/>
    </row>
    <row r="15" spans="1:18" ht="15" x14ac:dyDescent="0.3">
      <c r="A15" s="3658" t="s">
        <v>1240</v>
      </c>
      <c r="B15" s="3658"/>
      <c r="C15" s="3658"/>
      <c r="D15" s="3658"/>
      <c r="E15" s="3658"/>
      <c r="F15" s="3658"/>
      <c r="G15" s="3658"/>
      <c r="H15" s="2275"/>
      <c r="I15" s="2275"/>
      <c r="J15" s="2275"/>
    </row>
    <row r="16" spans="1:18" s="2279" customFormat="1" ht="18.75" hidden="1" customHeight="1" x14ac:dyDescent="0.35">
      <c r="A16" s="2276"/>
      <c r="B16" s="2276"/>
      <c r="C16" s="2276"/>
      <c r="D16" s="2277"/>
      <c r="E16" s="2277"/>
      <c r="F16" s="2277"/>
      <c r="G16" s="2278"/>
      <c r="H16" s="2278"/>
    </row>
    <row r="17" spans="1:10" s="2279" customFormat="1" ht="16" thickBot="1" x14ac:dyDescent="0.4">
      <c r="A17" s="3659"/>
      <c r="B17" s="3659"/>
      <c r="C17" s="3659"/>
      <c r="D17" s="3659"/>
      <c r="E17" s="3659"/>
      <c r="F17" s="3659"/>
      <c r="G17" s="2280" t="s">
        <v>1092</v>
      </c>
    </row>
    <row r="18" spans="1:10" ht="29.25" customHeight="1" x14ac:dyDescent="0.3">
      <c r="A18" s="3660" t="s">
        <v>1073</v>
      </c>
      <c r="B18" s="3662" t="s">
        <v>1074</v>
      </c>
      <c r="C18" s="3662" t="s">
        <v>1075</v>
      </c>
      <c r="D18" s="3662" t="s">
        <v>1076</v>
      </c>
      <c r="E18" s="3662"/>
      <c r="F18" s="3662"/>
      <c r="G18" s="3664" t="s">
        <v>1077</v>
      </c>
    </row>
    <row r="19" spans="1:10" ht="29.25" customHeight="1" thickBot="1" x14ac:dyDescent="0.35">
      <c r="A19" s="3661"/>
      <c r="B19" s="3663"/>
      <c r="C19" s="3663"/>
      <c r="D19" s="2281" t="s">
        <v>997</v>
      </c>
      <c r="E19" s="2281" t="s">
        <v>1198</v>
      </c>
      <c r="F19" s="2281" t="s">
        <v>1225</v>
      </c>
      <c r="G19" s="3665"/>
    </row>
    <row r="20" spans="1:10" ht="33.75" customHeight="1" thickBot="1" x14ac:dyDescent="0.35">
      <c r="A20" s="3637" t="s">
        <v>884</v>
      </c>
      <c r="B20" s="3638"/>
      <c r="C20" s="3638"/>
      <c r="D20" s="3638"/>
      <c r="E20" s="3638"/>
      <c r="F20" s="3638"/>
      <c r="G20" s="3639"/>
    </row>
    <row r="21" spans="1:10" ht="33.75" customHeight="1" thickBot="1" x14ac:dyDescent="0.35">
      <c r="A21" s="2282" t="s">
        <v>1132</v>
      </c>
      <c r="B21" s="2283"/>
      <c r="C21" s="2576"/>
      <c r="D21" s="2284">
        <f>D24+D41</f>
        <v>7342.42</v>
      </c>
      <c r="E21" s="2285">
        <f>E24+E41</f>
        <v>2391.92</v>
      </c>
      <c r="F21" s="2286">
        <f>F24+F41</f>
        <v>0</v>
      </c>
      <c r="G21" s="2283"/>
    </row>
    <row r="22" spans="1:10" ht="27.75" hidden="1" customHeight="1" x14ac:dyDescent="0.3">
      <c r="A22" s="3640" t="s">
        <v>1133</v>
      </c>
      <c r="B22" s="3643" t="s">
        <v>1090</v>
      </c>
      <c r="C22" s="2287" t="s">
        <v>1080</v>
      </c>
      <c r="D22" s="2288">
        <v>0</v>
      </c>
      <c r="E22" s="2288">
        <v>0</v>
      </c>
      <c r="F22" s="2289">
        <v>0</v>
      </c>
      <c r="G22" s="3646">
        <v>2022</v>
      </c>
    </row>
    <row r="23" spans="1:10" ht="27.75" hidden="1" customHeight="1" x14ac:dyDescent="0.3">
      <c r="A23" s="3641"/>
      <c r="B23" s="3644"/>
      <c r="C23" s="2268" t="s">
        <v>1081</v>
      </c>
      <c r="D23" s="2290">
        <v>0</v>
      </c>
      <c r="E23" s="2290">
        <v>0</v>
      </c>
      <c r="F23" s="2291">
        <v>0</v>
      </c>
      <c r="G23" s="3634"/>
    </row>
    <row r="24" spans="1:10" ht="43" hidden="1" customHeight="1" thickBot="1" x14ac:dyDescent="0.35">
      <c r="A24" s="3642"/>
      <c r="B24" s="3645"/>
      <c r="C24" s="2292" t="s">
        <v>1082</v>
      </c>
      <c r="D24" s="2293">
        <f>SUM(D22:D23)</f>
        <v>0</v>
      </c>
      <c r="E24" s="2293">
        <f>SUM(E22:E23)</f>
        <v>0</v>
      </c>
      <c r="F24" s="2294">
        <f>SUM(F22:F23)</f>
        <v>0</v>
      </c>
      <c r="G24" s="3636"/>
    </row>
    <row r="25" spans="1:10" ht="34" hidden="1" customHeight="1" x14ac:dyDescent="0.3">
      <c r="A25" s="3647"/>
      <c r="B25" s="3648"/>
      <c r="C25" s="3648"/>
      <c r="D25" s="3648"/>
      <c r="E25" s="3648"/>
      <c r="F25" s="3649"/>
      <c r="G25" s="3646">
        <v>2022</v>
      </c>
    </row>
    <row r="26" spans="1:10" ht="35.5" hidden="1" customHeight="1" x14ac:dyDescent="0.3">
      <c r="A26" s="3641" t="s">
        <v>1083</v>
      </c>
      <c r="B26" s="3644" t="s">
        <v>1079</v>
      </c>
      <c r="C26" s="2268" t="s">
        <v>1080</v>
      </c>
      <c r="D26" s="2290">
        <v>0</v>
      </c>
      <c r="E26" s="2290">
        <v>0</v>
      </c>
      <c r="F26" s="2291">
        <v>0</v>
      </c>
      <c r="G26" s="3634"/>
      <c r="H26" s="2295"/>
      <c r="I26" s="2295"/>
      <c r="J26" s="2295"/>
    </row>
    <row r="27" spans="1:10" ht="35.5" hidden="1" customHeight="1" x14ac:dyDescent="0.3">
      <c r="A27" s="3641"/>
      <c r="B27" s="3644"/>
      <c r="C27" s="2268" t="s">
        <v>1081</v>
      </c>
      <c r="D27" s="2290">
        <v>0</v>
      </c>
      <c r="E27" s="2290">
        <v>0</v>
      </c>
      <c r="F27" s="2291">
        <v>0</v>
      </c>
      <c r="G27" s="3634"/>
      <c r="H27" s="2295"/>
      <c r="I27" s="2295"/>
      <c r="J27" s="2295"/>
    </row>
    <row r="28" spans="1:10" ht="35.5" hidden="1" customHeight="1" x14ac:dyDescent="0.3">
      <c r="A28" s="3641"/>
      <c r="B28" s="3644"/>
      <c r="C28" s="2268" t="s">
        <v>1082</v>
      </c>
      <c r="D28" s="2290">
        <f>SUM(D26:D27)</f>
        <v>0</v>
      </c>
      <c r="E28" s="2290">
        <f>SUM(E26:E27)</f>
        <v>0</v>
      </c>
      <c r="F28" s="2291">
        <f>SUM(F26:F27)</f>
        <v>0</v>
      </c>
      <c r="G28" s="3634"/>
      <c r="H28" s="2295"/>
      <c r="I28" s="2295"/>
      <c r="J28" s="2295"/>
    </row>
    <row r="29" spans="1:10" ht="28.5" hidden="1" customHeight="1" x14ac:dyDescent="0.3">
      <c r="A29" s="3641" t="s">
        <v>1084</v>
      </c>
      <c r="B29" s="3644" t="s">
        <v>1079</v>
      </c>
      <c r="C29" s="2268" t="s">
        <v>1080</v>
      </c>
      <c r="D29" s="2290">
        <v>0</v>
      </c>
      <c r="E29" s="2290">
        <v>0</v>
      </c>
      <c r="F29" s="2291">
        <v>0</v>
      </c>
      <c r="G29" s="3634"/>
      <c r="H29" s="2295"/>
      <c r="I29" s="2295"/>
      <c r="J29" s="2295"/>
    </row>
    <row r="30" spans="1:10" ht="28.5" hidden="1" customHeight="1" x14ac:dyDescent="0.3">
      <c r="A30" s="3641"/>
      <c r="B30" s="3644"/>
      <c r="C30" s="2268" t="s">
        <v>1081</v>
      </c>
      <c r="D30" s="2290">
        <v>0</v>
      </c>
      <c r="E30" s="2290">
        <v>0</v>
      </c>
      <c r="F30" s="2291">
        <v>0</v>
      </c>
      <c r="G30" s="3634"/>
      <c r="H30" s="2295"/>
      <c r="I30" s="2295"/>
      <c r="J30" s="2295"/>
    </row>
    <row r="31" spans="1:10" ht="28.5" hidden="1" customHeight="1" x14ac:dyDescent="0.3">
      <c r="A31" s="3641"/>
      <c r="B31" s="3644"/>
      <c r="C31" s="2268" t="s">
        <v>1082</v>
      </c>
      <c r="D31" s="2290">
        <f>SUM(D29:D30)</f>
        <v>0</v>
      </c>
      <c r="E31" s="2290">
        <f>SUM(E29:E30)</f>
        <v>0</v>
      </c>
      <c r="F31" s="2291">
        <f>SUM(F29:F30)</f>
        <v>0</v>
      </c>
      <c r="G31" s="3634"/>
      <c r="H31" s="2295"/>
      <c r="I31" s="2295"/>
      <c r="J31" s="2295"/>
    </row>
    <row r="32" spans="1:10" ht="28.5" hidden="1" customHeight="1" x14ac:dyDescent="0.3">
      <c r="A32" s="3641" t="s">
        <v>1085</v>
      </c>
      <c r="B32" s="3644" t="s">
        <v>1079</v>
      </c>
      <c r="C32" s="2268" t="s">
        <v>1080</v>
      </c>
      <c r="D32" s="2290">
        <v>0</v>
      </c>
      <c r="E32" s="2290">
        <v>0</v>
      </c>
      <c r="F32" s="2291">
        <v>0</v>
      </c>
      <c r="G32" s="3634"/>
      <c r="H32" s="2295"/>
      <c r="I32" s="2295"/>
      <c r="J32" s="2295"/>
    </row>
    <row r="33" spans="1:10" ht="28.5" hidden="1" customHeight="1" x14ac:dyDescent="0.3">
      <c r="A33" s="3641"/>
      <c r="B33" s="3644"/>
      <c r="C33" s="2268" t="s">
        <v>1081</v>
      </c>
      <c r="D33" s="2290">
        <v>0</v>
      </c>
      <c r="E33" s="2290">
        <v>0</v>
      </c>
      <c r="F33" s="2291">
        <v>0</v>
      </c>
      <c r="G33" s="3634"/>
      <c r="H33" s="2295"/>
      <c r="I33" s="2295"/>
      <c r="J33" s="2295"/>
    </row>
    <row r="34" spans="1:10" ht="28.5" hidden="1" customHeight="1" x14ac:dyDescent="0.3">
      <c r="A34" s="3641"/>
      <c r="B34" s="3644"/>
      <c r="C34" s="2268" t="s">
        <v>1082</v>
      </c>
      <c r="D34" s="2290">
        <f>SUM(D32:D33)</f>
        <v>0</v>
      </c>
      <c r="E34" s="2290">
        <f>SUM(E32:E33)</f>
        <v>0</v>
      </c>
      <c r="F34" s="2291">
        <f>SUM(F32:F33)</f>
        <v>0</v>
      </c>
      <c r="G34" s="3634"/>
      <c r="H34" s="2295"/>
      <c r="I34" s="2295"/>
      <c r="J34" s="2295"/>
    </row>
    <row r="35" spans="1:10" s="2297" customFormat="1" ht="28.5" customHeight="1" x14ac:dyDescent="0.3">
      <c r="A35" s="3650" t="s">
        <v>1134</v>
      </c>
      <c r="B35" s="3653" t="s">
        <v>1090</v>
      </c>
      <c r="C35" s="2268" t="s">
        <v>1080</v>
      </c>
      <c r="D35" s="2290">
        <f>1547.53+140</f>
        <v>1687.53</v>
      </c>
      <c r="E35" s="2290">
        <v>0</v>
      </c>
      <c r="F35" s="2291"/>
      <c r="G35" s="3634"/>
      <c r="H35" s="2296"/>
      <c r="I35" s="2296"/>
      <c r="J35" s="2296"/>
    </row>
    <row r="36" spans="1:10" s="2297" customFormat="1" ht="28.5" customHeight="1" x14ac:dyDescent="0.3">
      <c r="A36" s="3651"/>
      <c r="B36" s="3654"/>
      <c r="C36" s="2268" t="s">
        <v>1081</v>
      </c>
      <c r="D36" s="2290">
        <v>5654.89</v>
      </c>
      <c r="E36" s="2290">
        <v>0</v>
      </c>
      <c r="F36" s="2291">
        <f t="shared" ref="F36" si="0">F27+F30+F33</f>
        <v>0</v>
      </c>
      <c r="G36" s="3634"/>
      <c r="H36" s="3020" t="s">
        <v>1375</v>
      </c>
      <c r="I36" s="2296"/>
      <c r="J36" s="2296"/>
    </row>
    <row r="37" spans="1:10" s="2297" customFormat="1" ht="74.25" customHeight="1" x14ac:dyDescent="0.3">
      <c r="A37" s="3652"/>
      <c r="B37" s="3654"/>
      <c r="C37" s="2033" t="s">
        <v>1135</v>
      </c>
      <c r="D37" s="2298">
        <f>D35+D36</f>
        <v>7342.42</v>
      </c>
      <c r="E37" s="2298">
        <f>E35</f>
        <v>0</v>
      </c>
      <c r="F37" s="2299">
        <f>F35</f>
        <v>0</v>
      </c>
      <c r="G37" s="3634"/>
      <c r="H37" s="2296"/>
      <c r="I37" s="2296"/>
      <c r="J37" s="2296"/>
    </row>
    <row r="38" spans="1:10" s="2297" customFormat="1" ht="32.5" customHeight="1" x14ac:dyDescent="0.3">
      <c r="A38" s="3650" t="s">
        <v>1136</v>
      </c>
      <c r="B38" s="3654"/>
      <c r="C38" s="2268" t="s">
        <v>1080</v>
      </c>
      <c r="D38" s="2290">
        <v>0</v>
      </c>
      <c r="E38" s="2290">
        <v>23.92</v>
      </c>
      <c r="F38" s="2291">
        <v>0</v>
      </c>
      <c r="G38" s="3635">
        <v>2023</v>
      </c>
      <c r="H38" s="2296"/>
      <c r="I38" s="2296"/>
      <c r="J38" s="2296"/>
    </row>
    <row r="39" spans="1:10" s="2297" customFormat="1" ht="30.65" customHeight="1" x14ac:dyDescent="0.3">
      <c r="A39" s="3651"/>
      <c r="B39" s="3654"/>
      <c r="C39" s="2268" t="s">
        <v>1081</v>
      </c>
      <c r="D39" s="2290">
        <v>0</v>
      </c>
      <c r="E39" s="2290">
        <v>2368</v>
      </c>
      <c r="F39" s="2291">
        <v>0</v>
      </c>
      <c r="G39" s="3634"/>
      <c r="H39" s="2296"/>
      <c r="I39" s="2296"/>
      <c r="J39" s="2296"/>
    </row>
    <row r="40" spans="1:10" s="2297" customFormat="1" ht="32.5" customHeight="1" thickBot="1" x14ac:dyDescent="0.35">
      <c r="A40" s="3651"/>
      <c r="B40" s="3654"/>
      <c r="C40" s="2292" t="s">
        <v>1135</v>
      </c>
      <c r="D40" s="2293">
        <f>D38+D39</f>
        <v>0</v>
      </c>
      <c r="E40" s="2293">
        <f>E38+E39</f>
        <v>2391.92</v>
      </c>
      <c r="F40" s="2294">
        <f>F38</f>
        <v>0</v>
      </c>
      <c r="G40" s="3634"/>
      <c r="H40" s="2296"/>
      <c r="I40" s="2296"/>
      <c r="J40" s="2296"/>
    </row>
    <row r="41" spans="1:10" s="2297" customFormat="1" ht="32.5" customHeight="1" thickBot="1" x14ac:dyDescent="0.35">
      <c r="A41" s="3656"/>
      <c r="B41" s="3655"/>
      <c r="C41" s="2292" t="s">
        <v>1082</v>
      </c>
      <c r="D41" s="2293">
        <f>D37+D40</f>
        <v>7342.42</v>
      </c>
      <c r="E41" s="2293">
        <f>E37+E40</f>
        <v>2391.92</v>
      </c>
      <c r="F41" s="2294">
        <f>F37+F40</f>
        <v>0</v>
      </c>
      <c r="G41" s="3636"/>
      <c r="H41" s="2296"/>
      <c r="I41" s="2296"/>
      <c r="J41" s="2296"/>
    </row>
    <row r="42" spans="1:10" s="2297" customFormat="1" ht="13" customHeight="1" x14ac:dyDescent="0.3">
      <c r="A42" s="3610" t="s">
        <v>1234</v>
      </c>
      <c r="B42" s="3611"/>
      <c r="C42" s="3611"/>
      <c r="D42" s="3611"/>
      <c r="E42" s="3611"/>
      <c r="F42" s="3611"/>
      <c r="G42" s="3612"/>
      <c r="H42" s="2296"/>
      <c r="I42" s="2296"/>
      <c r="J42" s="2296"/>
    </row>
    <row r="43" spans="1:10" s="2297" customFormat="1" ht="15.75" customHeight="1" thickBot="1" x14ac:dyDescent="0.35">
      <c r="A43" s="3613"/>
      <c r="B43" s="3614"/>
      <c r="C43" s="3614"/>
      <c r="D43" s="3614"/>
      <c r="E43" s="3614"/>
      <c r="F43" s="3614"/>
      <c r="G43" s="3615"/>
      <c r="H43" s="2296"/>
      <c r="I43" s="2296"/>
      <c r="J43" s="2296"/>
    </row>
    <row r="44" spans="1:10" s="2297" customFormat="1" ht="13.75" hidden="1" customHeight="1" thickBot="1" x14ac:dyDescent="0.35">
      <c r="A44" s="2300"/>
      <c r="B44" s="2301"/>
      <c r="C44" s="2301"/>
      <c r="D44" s="2301"/>
      <c r="E44" s="2301"/>
      <c r="F44" s="2302"/>
      <c r="G44" s="2303"/>
      <c r="H44" s="2296"/>
      <c r="I44" s="2296"/>
      <c r="J44" s="2296"/>
    </row>
    <row r="45" spans="1:10" s="2297" customFormat="1" ht="22.5" customHeight="1" thickBot="1" x14ac:dyDescent="0.35">
      <c r="A45" s="2356" t="s">
        <v>1132</v>
      </c>
      <c r="B45" s="2283"/>
      <c r="C45" s="2361"/>
      <c r="D45" s="2284">
        <v>0</v>
      </c>
      <c r="E45" s="2285">
        <f>E48+E51+E54+E57</f>
        <v>2331.0073000000002</v>
      </c>
      <c r="F45" s="2286">
        <f>F46+F49+F52+F55</f>
        <v>0</v>
      </c>
      <c r="G45" s="2283"/>
      <c r="H45" s="2296"/>
      <c r="I45" s="2296"/>
      <c r="J45" s="2296"/>
    </row>
    <row r="46" spans="1:10" s="2297" customFormat="1" ht="25.15" customHeight="1" thickTop="1" x14ac:dyDescent="0.3">
      <c r="A46" s="3625" t="s">
        <v>1181</v>
      </c>
      <c r="B46" s="3628" t="s">
        <v>1090</v>
      </c>
      <c r="C46" s="2586" t="s">
        <v>1080</v>
      </c>
      <c r="D46" s="2603">
        <v>0</v>
      </c>
      <c r="E46" s="2604">
        <v>1578.0856000000001</v>
      </c>
      <c r="F46" s="2603">
        <v>0</v>
      </c>
      <c r="G46" s="3633" t="s">
        <v>1232</v>
      </c>
      <c r="H46" s="2296"/>
      <c r="I46" s="2296"/>
      <c r="J46" s="2296"/>
    </row>
    <row r="47" spans="1:10" s="2297" customFormat="1" ht="23.25" customHeight="1" thickBot="1" x14ac:dyDescent="0.35">
      <c r="A47" s="3626"/>
      <c r="B47" s="3629"/>
      <c r="C47" s="2584" t="s">
        <v>1081</v>
      </c>
      <c r="D47" s="2589">
        <v>0</v>
      </c>
      <c r="E47" s="2596">
        <v>0</v>
      </c>
      <c r="F47" s="2589">
        <v>0</v>
      </c>
      <c r="G47" s="3634"/>
      <c r="H47" s="2296"/>
      <c r="I47" s="2296"/>
      <c r="J47" s="2296"/>
    </row>
    <row r="48" spans="1:10" s="2297" customFormat="1" ht="28.5" customHeight="1" thickBot="1" x14ac:dyDescent="0.35">
      <c r="A48" s="3627"/>
      <c r="B48" s="3630"/>
      <c r="C48" s="2585" t="s">
        <v>1082</v>
      </c>
      <c r="D48" s="2590">
        <f>D46+D47</f>
        <v>0</v>
      </c>
      <c r="E48" s="2285">
        <f>E46+E47</f>
        <v>1578.0856000000001</v>
      </c>
      <c r="F48" s="2580">
        <f>F46+F47</f>
        <v>0</v>
      </c>
      <c r="G48" s="3634"/>
      <c r="H48" s="2296"/>
      <c r="I48" s="2296"/>
      <c r="J48" s="2296"/>
    </row>
    <row r="49" spans="1:10" s="2297" customFormat="1" ht="23.25" hidden="1" customHeight="1" x14ac:dyDescent="0.3">
      <c r="A49" s="3631" t="s">
        <v>1182</v>
      </c>
      <c r="B49" s="3632" t="s">
        <v>1090</v>
      </c>
      <c r="C49" s="2586" t="s">
        <v>1080</v>
      </c>
      <c r="D49" s="2589">
        <v>0</v>
      </c>
      <c r="E49" s="2597">
        <v>0</v>
      </c>
      <c r="F49" s="2592">
        <v>0</v>
      </c>
      <c r="G49" s="3634"/>
      <c r="H49" s="2296"/>
      <c r="I49" s="2296"/>
      <c r="J49" s="2296"/>
    </row>
    <row r="50" spans="1:10" s="2297" customFormat="1" ht="23.25" hidden="1" customHeight="1" thickBot="1" x14ac:dyDescent="0.35">
      <c r="A50" s="3626"/>
      <c r="B50" s="3629"/>
      <c r="C50" s="2584" t="s">
        <v>1081</v>
      </c>
      <c r="D50" s="2589">
        <v>0</v>
      </c>
      <c r="E50" s="2596">
        <v>0</v>
      </c>
      <c r="F50" s="2579">
        <v>0</v>
      </c>
      <c r="G50" s="3634"/>
      <c r="H50" s="2296"/>
      <c r="I50" s="2296"/>
      <c r="J50" s="2296"/>
    </row>
    <row r="51" spans="1:10" s="2297" customFormat="1" ht="30" hidden="1" customHeight="1" thickBot="1" x14ac:dyDescent="0.35">
      <c r="A51" s="3627"/>
      <c r="B51" s="3630"/>
      <c r="C51" s="2585" t="s">
        <v>1082</v>
      </c>
      <c r="D51" s="2591">
        <f>D49+D50</f>
        <v>0</v>
      </c>
      <c r="E51" s="2598">
        <f>E49+E50</f>
        <v>0</v>
      </c>
      <c r="F51" s="2581">
        <f>F49+F50</f>
        <v>0</v>
      </c>
      <c r="G51" s="3634"/>
      <c r="H51" s="2296"/>
      <c r="I51" s="2296"/>
      <c r="J51" s="2296"/>
    </row>
    <row r="52" spans="1:10" s="2297" customFormat="1" ht="23.25" hidden="1" customHeight="1" x14ac:dyDescent="0.3">
      <c r="A52" s="3631" t="s">
        <v>1183</v>
      </c>
      <c r="B52" s="3632" t="s">
        <v>1090</v>
      </c>
      <c r="C52" s="2586" t="s">
        <v>1080</v>
      </c>
      <c r="D52" s="2589">
        <v>0</v>
      </c>
      <c r="E52" s="2597">
        <v>0</v>
      </c>
      <c r="F52" s="2592">
        <v>0</v>
      </c>
      <c r="G52" s="3634"/>
      <c r="H52" s="2296"/>
      <c r="I52" s="2296"/>
      <c r="J52" s="2296"/>
    </row>
    <row r="53" spans="1:10" s="2297" customFormat="1" ht="23.25" hidden="1" customHeight="1" thickBot="1" x14ac:dyDescent="0.35">
      <c r="A53" s="3626"/>
      <c r="B53" s="3629"/>
      <c r="C53" s="2584" t="s">
        <v>1081</v>
      </c>
      <c r="D53" s="2589">
        <v>0</v>
      </c>
      <c r="E53" s="2596">
        <v>0</v>
      </c>
      <c r="F53" s="2579">
        <v>0</v>
      </c>
      <c r="G53" s="3634"/>
      <c r="H53" s="2296"/>
      <c r="I53" s="2296"/>
      <c r="J53" s="2296"/>
    </row>
    <row r="54" spans="1:10" s="2297" customFormat="1" ht="29.25" hidden="1" customHeight="1" thickBot="1" x14ac:dyDescent="0.35">
      <c r="A54" s="3627"/>
      <c r="B54" s="3630"/>
      <c r="C54" s="2585" t="s">
        <v>1082</v>
      </c>
      <c r="D54" s="2591">
        <f>D52+D53</f>
        <v>0</v>
      </c>
      <c r="E54" s="2598">
        <v>0</v>
      </c>
      <c r="F54" s="2581">
        <f>F52+F53</f>
        <v>0</v>
      </c>
      <c r="G54" s="3634"/>
      <c r="H54" s="2296"/>
      <c r="I54" s="2296"/>
      <c r="J54" s="2296"/>
    </row>
    <row r="55" spans="1:10" s="2297" customFormat="1" ht="23.25" customHeight="1" x14ac:dyDescent="0.3">
      <c r="A55" s="3631" t="s">
        <v>1184</v>
      </c>
      <c r="B55" s="3632" t="s">
        <v>1090</v>
      </c>
      <c r="C55" s="2586" t="s">
        <v>1080</v>
      </c>
      <c r="D55" s="2589">
        <v>0</v>
      </c>
      <c r="E55" s="2597">
        <v>752.92169999999999</v>
      </c>
      <c r="F55" s="2592">
        <v>0</v>
      </c>
      <c r="G55" s="3635" t="s">
        <v>1232</v>
      </c>
      <c r="H55" s="2296"/>
      <c r="I55" s="2296"/>
      <c r="J55" s="2296"/>
    </row>
    <row r="56" spans="1:10" s="2297" customFormat="1" ht="23.25" customHeight="1" thickBot="1" x14ac:dyDescent="0.35">
      <c r="A56" s="3626"/>
      <c r="B56" s="3629"/>
      <c r="C56" s="2584" t="s">
        <v>1081</v>
      </c>
      <c r="D56" s="2589">
        <v>0</v>
      </c>
      <c r="E56" s="2596">
        <v>0</v>
      </c>
      <c r="F56" s="2579">
        <v>0</v>
      </c>
      <c r="G56" s="3634"/>
      <c r="H56" s="2296"/>
      <c r="I56" s="2296"/>
      <c r="J56" s="2296"/>
    </row>
    <row r="57" spans="1:10" s="2297" customFormat="1" ht="29.25" customHeight="1" thickBot="1" x14ac:dyDescent="0.35">
      <c r="A57" s="3627"/>
      <c r="B57" s="3630"/>
      <c r="C57" s="2576" t="s">
        <v>1082</v>
      </c>
      <c r="D57" s="2591">
        <f>D55+D56</f>
        <v>0</v>
      </c>
      <c r="E57" s="2598">
        <f>E55+E56</f>
        <v>752.92169999999999</v>
      </c>
      <c r="F57" s="2595">
        <f>F55+F56</f>
        <v>0</v>
      </c>
      <c r="G57" s="3634"/>
      <c r="H57" s="2296"/>
      <c r="I57" s="2296"/>
      <c r="J57" s="2296"/>
    </row>
    <row r="58" spans="1:10" s="2297" customFormat="1" ht="23.25" hidden="1" customHeight="1" x14ac:dyDescent="0.3">
      <c r="A58" s="2357"/>
      <c r="B58" s="2577"/>
      <c r="C58" s="2587"/>
      <c r="D58" s="2592"/>
      <c r="E58" s="2597"/>
      <c r="F58" s="2592"/>
      <c r="G58" s="2359"/>
      <c r="H58" s="2296"/>
      <c r="I58" s="2296"/>
      <c r="J58" s="2296"/>
    </row>
    <row r="59" spans="1:10" s="2297" customFormat="1" ht="23.25" hidden="1" customHeight="1" x14ac:dyDescent="0.3">
      <c r="A59" s="2357"/>
      <c r="B59" s="2577"/>
      <c r="C59" s="2584"/>
      <c r="D59" s="2589"/>
      <c r="E59" s="2596"/>
      <c r="F59" s="2589"/>
      <c r="G59" s="2359"/>
      <c r="H59" s="2296"/>
      <c r="I59" s="2296"/>
      <c r="J59" s="2296"/>
    </row>
    <row r="60" spans="1:10" s="2297" customFormat="1" ht="23.25" hidden="1" customHeight="1" x14ac:dyDescent="0.3">
      <c r="A60" s="2357"/>
      <c r="B60" s="2577"/>
      <c r="C60" s="2584"/>
      <c r="D60" s="2589"/>
      <c r="E60" s="2596"/>
      <c r="F60" s="2589"/>
      <c r="G60" s="2359"/>
      <c r="H60" s="2296"/>
      <c r="I60" s="2296"/>
      <c r="J60" s="2296"/>
    </row>
    <row r="61" spans="1:10" s="2297" customFormat="1" ht="23.25" hidden="1" customHeight="1" x14ac:dyDescent="0.3">
      <c r="A61" s="2357"/>
      <c r="B61" s="2577"/>
      <c r="C61" s="2584"/>
      <c r="D61" s="2589"/>
      <c r="E61" s="2596"/>
      <c r="F61" s="2589"/>
      <c r="G61" s="2359"/>
      <c r="H61" s="2296"/>
      <c r="I61" s="2296"/>
      <c r="J61" s="2296"/>
    </row>
    <row r="62" spans="1:10" s="2297" customFormat="1" ht="23.25" hidden="1" customHeight="1" x14ac:dyDescent="0.3">
      <c r="A62" s="2357"/>
      <c r="B62" s="2577"/>
      <c r="C62" s="2584"/>
      <c r="D62" s="2589"/>
      <c r="E62" s="2596"/>
      <c r="F62" s="2589"/>
      <c r="G62" s="2359"/>
      <c r="H62" s="2296"/>
      <c r="I62" s="2296"/>
      <c r="J62" s="2296"/>
    </row>
    <row r="63" spans="1:10" s="2297" customFormat="1" ht="23.25" hidden="1" customHeight="1" x14ac:dyDescent="0.3">
      <c r="A63" s="2357"/>
      <c r="B63" s="2577"/>
      <c r="C63" s="2584"/>
      <c r="D63" s="2589"/>
      <c r="E63" s="2596"/>
      <c r="F63" s="2589"/>
      <c r="G63" s="2359"/>
      <c r="H63" s="2296"/>
      <c r="I63" s="2296"/>
      <c r="J63" s="2296"/>
    </row>
    <row r="64" spans="1:10" s="2297" customFormat="1" ht="31.5" hidden="1" customHeight="1" thickBot="1" x14ac:dyDescent="0.35">
      <c r="A64" s="2358"/>
      <c r="B64" s="2578"/>
      <c r="C64" s="2588" t="s">
        <v>1082</v>
      </c>
      <c r="D64" s="2593">
        <f>SUM(D46:D47)</f>
        <v>0</v>
      </c>
      <c r="E64" s="2599">
        <f>SUM(E46:E47)</f>
        <v>1578.0856000000001</v>
      </c>
      <c r="F64" s="2593">
        <f>SUM(F46:F47)</f>
        <v>0</v>
      </c>
      <c r="G64" s="2360"/>
      <c r="H64" s="2296"/>
      <c r="I64" s="2296"/>
      <c r="J64" s="2296"/>
    </row>
    <row r="65" spans="1:10" s="2305" customFormat="1" ht="28.5" customHeight="1" x14ac:dyDescent="0.3">
      <c r="A65" s="3616" t="s">
        <v>1233</v>
      </c>
      <c r="B65" s="3619" t="s">
        <v>828</v>
      </c>
      <c r="C65" s="2583" t="s">
        <v>1080</v>
      </c>
      <c r="D65" s="2594">
        <f>D35+D38+D46+D55</f>
        <v>1687.53</v>
      </c>
      <c r="E65" s="2600">
        <f>E35+E38+E46+E55</f>
        <v>2354.9273000000003</v>
      </c>
      <c r="F65" s="2582">
        <f>F35+F38+F46+F55</f>
        <v>0</v>
      </c>
      <c r="G65" s="3622" t="s">
        <v>1087</v>
      </c>
      <c r="H65" s="2304"/>
      <c r="I65" s="2304"/>
      <c r="J65" s="2304"/>
    </row>
    <row r="66" spans="1:10" s="2305" customFormat="1" ht="28.5" customHeight="1" thickBot="1" x14ac:dyDescent="0.35">
      <c r="A66" s="3617"/>
      <c r="B66" s="3620"/>
      <c r="C66" s="2584" t="s">
        <v>1081</v>
      </c>
      <c r="D66" s="2601">
        <f>D36+D39+D47+D56</f>
        <v>5654.89</v>
      </c>
      <c r="E66" s="2602">
        <f>E36+E39+E47+E56</f>
        <v>2368</v>
      </c>
      <c r="F66" s="2601">
        <f>F23</f>
        <v>0</v>
      </c>
      <c r="G66" s="3623"/>
      <c r="H66" s="2304"/>
      <c r="I66" s="2304"/>
      <c r="J66" s="2304"/>
    </row>
    <row r="67" spans="1:10" s="2305" customFormat="1" ht="26.5" thickBot="1" x14ac:dyDescent="0.35">
      <c r="A67" s="3618"/>
      <c r="B67" s="3621"/>
      <c r="C67" s="2585" t="s">
        <v>1088</v>
      </c>
      <c r="D67" s="3022">
        <f>D65+D66</f>
        <v>7342.42</v>
      </c>
      <c r="E67" s="3021">
        <f>E65+E66</f>
        <v>4722.9273000000003</v>
      </c>
      <c r="F67" s="2286">
        <f>F65+F66</f>
        <v>0</v>
      </c>
      <c r="G67" s="3624"/>
      <c r="H67" s="2304"/>
      <c r="I67" s="2304"/>
      <c r="J67" s="2304"/>
    </row>
    <row r="68" spans="1:10" x14ac:dyDescent="0.3">
      <c r="D68" s="2003"/>
      <c r="E68" s="2003"/>
      <c r="F68" s="2003"/>
    </row>
    <row r="69" spans="1:10" s="2279" customFormat="1" ht="15.5" hidden="1" x14ac:dyDescent="0.35">
      <c r="C69" s="2306"/>
      <c r="D69" s="2278">
        <f>D21+D45</f>
        <v>7342.42</v>
      </c>
      <c r="E69" s="2278">
        <f>E21+E45</f>
        <v>4722.9273000000003</v>
      </c>
      <c r="F69" s="2278">
        <f>F21+F45</f>
        <v>0</v>
      </c>
    </row>
  </sheetData>
  <mergeCells count="45"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F7:G7"/>
    <mergeCell ref="E1:G1"/>
    <mergeCell ref="E2:G2"/>
    <mergeCell ref="E3:G3"/>
    <mergeCell ref="E4:G4"/>
    <mergeCell ref="E5:G5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A42:G43"/>
    <mergeCell ref="A65:A67"/>
    <mergeCell ref="B65:B67"/>
    <mergeCell ref="G65:G67"/>
    <mergeCell ref="A46:A48"/>
    <mergeCell ref="B46:B48"/>
    <mergeCell ref="A49:A51"/>
    <mergeCell ref="B49:B51"/>
    <mergeCell ref="A52:A54"/>
    <mergeCell ref="B52:B54"/>
    <mergeCell ref="A55:A57"/>
    <mergeCell ref="B55:B57"/>
    <mergeCell ref="G46:G54"/>
    <mergeCell ref="G55:G57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9"/>
  <sheetViews>
    <sheetView tabSelected="1" topLeftCell="A123" zoomScale="70" zoomScaleNormal="70" workbookViewId="0">
      <selection activeCell="V143" sqref="V143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8.54296875" style="443" customWidth="1"/>
    <col min="13" max="16" width="17.453125" style="223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2.1796875" style="547" hidden="1" customWidth="1"/>
    <col min="22" max="22" width="17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31" width="9.1796875" style="547"/>
    <col min="32" max="32" width="14.26953125" style="547" bestFit="1" customWidth="1"/>
    <col min="33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566"/>
    </row>
    <row r="2" spans="8:24" hidden="1" x14ac:dyDescent="0.35">
      <c r="J2" s="541"/>
      <c r="L2" s="869" t="s">
        <v>450</v>
      </c>
      <c r="M2" s="2566"/>
      <c r="N2" s="2566"/>
    </row>
    <row r="3" spans="8:24" hidden="1" x14ac:dyDescent="0.35">
      <c r="H3" s="541"/>
      <c r="I3" s="541"/>
      <c r="J3" s="541"/>
      <c r="L3" s="869" t="s">
        <v>626</v>
      </c>
      <c r="M3" s="2566"/>
      <c r="N3" s="2566"/>
      <c r="O3" s="2566"/>
      <c r="P3" s="2566"/>
    </row>
    <row r="4" spans="8:24" hidden="1" x14ac:dyDescent="0.35">
      <c r="I4" s="541"/>
      <c r="J4" s="541"/>
      <c r="L4" s="869" t="s">
        <v>448</v>
      </c>
      <c r="M4" s="2566"/>
      <c r="N4" s="2566"/>
      <c r="O4" s="2566"/>
    </row>
    <row r="5" spans="8:24" hidden="1" x14ac:dyDescent="0.35">
      <c r="I5" s="541"/>
      <c r="J5" s="541"/>
      <c r="L5" s="869" t="s">
        <v>448</v>
      </c>
      <c r="M5" s="2566"/>
      <c r="N5" s="2566"/>
      <c r="O5" s="2566"/>
    </row>
    <row r="6" spans="8:24" hidden="1" x14ac:dyDescent="0.35">
      <c r="J6" s="541"/>
      <c r="L6" s="2236" t="s">
        <v>627</v>
      </c>
      <c r="M6" s="2567"/>
      <c r="N6" s="2567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idden="1" x14ac:dyDescent="0.35">
      <c r="L11" s="869"/>
    </row>
    <row r="12" spans="8:24" ht="15.65" customHeight="1" x14ac:dyDescent="0.35">
      <c r="K12" s="3341" t="s">
        <v>1139</v>
      </c>
      <c r="L12" s="3341"/>
      <c r="M12" s="3341"/>
      <c r="N12" s="3341"/>
      <c r="O12" s="3341"/>
      <c r="P12" s="3341"/>
      <c r="Q12" s="3341"/>
      <c r="R12" s="3341"/>
      <c r="S12" s="3341"/>
      <c r="T12" s="3341"/>
      <c r="U12" s="3341"/>
      <c r="V12" s="3341"/>
      <c r="W12" s="3341"/>
      <c r="X12" s="3341"/>
    </row>
    <row r="13" spans="8:24" ht="15.65" customHeight="1" x14ac:dyDescent="0.35">
      <c r="K13" s="3341" t="s">
        <v>450</v>
      </c>
      <c r="L13" s="3341"/>
      <c r="M13" s="3341"/>
      <c r="N13" s="3341"/>
      <c r="O13" s="3341"/>
      <c r="P13" s="3341"/>
      <c r="Q13" s="3341"/>
      <c r="R13" s="3341"/>
      <c r="S13" s="3341"/>
      <c r="T13" s="3341"/>
      <c r="U13" s="3341"/>
      <c r="V13" s="3341"/>
      <c r="W13" s="3341"/>
      <c r="X13" s="3341"/>
    </row>
    <row r="14" spans="8:24" ht="15.65" customHeight="1" x14ac:dyDescent="0.35">
      <c r="K14" s="3341" t="s">
        <v>449</v>
      </c>
      <c r="L14" s="3341"/>
      <c r="M14" s="3341"/>
      <c r="N14" s="3341"/>
      <c r="O14" s="3341"/>
      <c r="P14" s="3341"/>
      <c r="Q14" s="3341"/>
      <c r="R14" s="3341"/>
      <c r="S14" s="3341"/>
      <c r="T14" s="3341"/>
      <c r="U14" s="3341"/>
      <c r="V14" s="3341"/>
      <c r="W14" s="3341"/>
      <c r="X14" s="3341"/>
    </row>
    <row r="15" spans="8:24" ht="15.65" customHeight="1" x14ac:dyDescent="0.35">
      <c r="K15" s="3341" t="s">
        <v>448</v>
      </c>
      <c r="L15" s="3341"/>
      <c r="M15" s="3341"/>
      <c r="N15" s="3341"/>
      <c r="O15" s="3341"/>
      <c r="P15" s="3341"/>
      <c r="Q15" s="3341"/>
      <c r="R15" s="3341"/>
      <c r="S15" s="3341"/>
      <c r="T15" s="3341"/>
      <c r="U15" s="3341"/>
      <c r="V15" s="3341"/>
      <c r="W15" s="3341"/>
      <c r="X15" s="3341"/>
    </row>
    <row r="16" spans="8:24" ht="15.65" customHeight="1" x14ac:dyDescent="0.35">
      <c r="K16" s="3342" t="s">
        <v>1378</v>
      </c>
      <c r="L16" s="3342"/>
      <c r="M16" s="3342"/>
      <c r="N16" s="3342"/>
      <c r="O16" s="3342"/>
      <c r="P16" s="3342"/>
      <c r="Q16" s="3342"/>
      <c r="R16" s="3342"/>
      <c r="S16" s="3342"/>
      <c r="T16" s="3342"/>
      <c r="U16" s="3342"/>
      <c r="V16" s="3342"/>
      <c r="W16" s="3342"/>
      <c r="X16" s="3342"/>
    </row>
    <row r="17" spans="1:24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3023" t="s">
        <v>625</v>
      </c>
      <c r="V18" s="3023"/>
      <c r="W18" s="3023"/>
    </row>
    <row r="19" spans="1:24" x14ac:dyDescent="0.35">
      <c r="Q19" s="877"/>
      <c r="U19" s="3023" t="s">
        <v>450</v>
      </c>
      <c r="V19" s="3023"/>
      <c r="W19" s="3023"/>
    </row>
    <row r="20" spans="1:24" x14ac:dyDescent="0.35">
      <c r="K20" s="3023" t="s">
        <v>449</v>
      </c>
      <c r="L20" s="3023"/>
      <c r="M20" s="3023"/>
      <c r="N20" s="3023"/>
      <c r="O20" s="3023"/>
      <c r="P20" s="3023"/>
      <c r="Q20" s="3023"/>
      <c r="R20" s="3023"/>
      <c r="S20" s="3023"/>
      <c r="T20" s="3023"/>
      <c r="U20" s="3023"/>
      <c r="V20" s="3023"/>
      <c r="W20" s="3023"/>
    </row>
    <row r="21" spans="1:24" x14ac:dyDescent="0.35">
      <c r="K21" s="3023" t="s">
        <v>448</v>
      </c>
      <c r="L21" s="3023"/>
      <c r="M21" s="3023"/>
      <c r="N21" s="3023"/>
      <c r="O21" s="3023"/>
      <c r="P21" s="3023"/>
      <c r="Q21" s="3023"/>
      <c r="R21" s="3023"/>
      <c r="S21" s="3023"/>
      <c r="T21" s="3023"/>
      <c r="U21" s="3023"/>
      <c r="V21" s="3023"/>
      <c r="W21" s="3023"/>
    </row>
    <row r="22" spans="1:24" x14ac:dyDescent="0.25">
      <c r="K22" s="3354" t="s">
        <v>1258</v>
      </c>
      <c r="L22" s="3354"/>
      <c r="M22" s="3354"/>
      <c r="N22" s="3354"/>
      <c r="O22" s="3354"/>
      <c r="P22" s="3354"/>
      <c r="Q22" s="3354"/>
      <c r="R22" s="3354"/>
      <c r="S22" s="3354"/>
      <c r="T22" s="3354"/>
      <c r="U22" s="3354"/>
      <c r="V22" s="3354"/>
      <c r="W22" s="3354"/>
      <c r="X22" s="3354"/>
    </row>
    <row r="23" spans="1:24" hidden="1" x14ac:dyDescent="0.35">
      <c r="Q23" s="541"/>
      <c r="R23" s="2566"/>
      <c r="S23" s="2566"/>
      <c r="T23" s="2566"/>
      <c r="U23" s="2566"/>
    </row>
    <row r="24" spans="1:24" hidden="1" x14ac:dyDescent="0.35">
      <c r="L24" s="2566" t="s">
        <v>446</v>
      </c>
      <c r="Q24" s="541"/>
      <c r="R24" s="2566"/>
      <c r="S24" s="2566"/>
      <c r="T24" s="2566"/>
    </row>
    <row r="25" spans="1:24" hidden="1" x14ac:dyDescent="0.35">
      <c r="L25" s="541"/>
      <c r="Q25" s="541"/>
      <c r="R25" s="2566"/>
      <c r="S25" s="2566"/>
      <c r="T25" s="2566"/>
      <c r="U25" s="2566"/>
    </row>
    <row r="26" spans="1:24" hidden="1" x14ac:dyDescent="0.35">
      <c r="L26" s="2566" t="s">
        <v>842</v>
      </c>
      <c r="Q26" s="541"/>
      <c r="R26" s="2566"/>
      <c r="S26" s="2566"/>
      <c r="T26" s="2566"/>
    </row>
    <row r="27" spans="1:24" hidden="1" x14ac:dyDescent="0.35">
      <c r="J27" s="2566"/>
      <c r="K27" s="869"/>
      <c r="L27" s="2566"/>
    </row>
    <row r="28" spans="1:24" hidden="1" x14ac:dyDescent="0.35">
      <c r="J28" s="2566"/>
      <c r="K28" s="869"/>
      <c r="L28" s="869"/>
    </row>
    <row r="29" spans="1:24" hidden="1" x14ac:dyDescent="0.35"/>
    <row r="30" spans="1:24" ht="19.5" customHeight="1" x14ac:dyDescent="0.35">
      <c r="A30" s="3024" t="s">
        <v>629</v>
      </c>
      <c r="B30" s="3024"/>
      <c r="C30" s="3024"/>
      <c r="D30" s="3024"/>
      <c r="E30" s="3024"/>
      <c r="F30" s="3024"/>
      <c r="G30" s="3024"/>
      <c r="H30" s="3024"/>
      <c r="I30" s="3024"/>
      <c r="J30" s="3024"/>
      <c r="K30" s="3024"/>
      <c r="L30" s="3024"/>
      <c r="M30" s="3024"/>
      <c r="N30" s="3024"/>
      <c r="O30" s="3024"/>
      <c r="P30" s="3024"/>
      <c r="Q30" s="3024"/>
      <c r="R30" s="3024"/>
      <c r="S30" s="3024"/>
      <c r="T30" s="3024"/>
      <c r="U30" s="3024"/>
      <c r="V30" s="3024"/>
      <c r="W30" s="3024"/>
    </row>
    <row r="31" spans="1:24" ht="17.5" x14ac:dyDescent="0.35">
      <c r="A31" s="3024" t="s">
        <v>630</v>
      </c>
      <c r="B31" s="3024"/>
      <c r="C31" s="3024"/>
      <c r="D31" s="3024"/>
      <c r="E31" s="3024"/>
      <c r="F31" s="3024"/>
      <c r="G31" s="3024"/>
      <c r="H31" s="3024"/>
      <c r="I31" s="3024"/>
      <c r="J31" s="3024"/>
      <c r="K31" s="3024"/>
      <c r="L31" s="3024"/>
      <c r="M31" s="3024"/>
      <c r="N31" s="3024"/>
      <c r="O31" s="3024"/>
      <c r="P31" s="3024"/>
      <c r="Q31" s="3024"/>
      <c r="R31" s="3024"/>
      <c r="S31" s="3024"/>
      <c r="T31" s="3024"/>
      <c r="U31" s="3024"/>
      <c r="V31" s="3024"/>
      <c r="W31" s="3024"/>
    </row>
    <row r="32" spans="1:24" ht="17.5" hidden="1" x14ac:dyDescent="0.35">
      <c r="A32" s="3024"/>
      <c r="B32" s="3024"/>
      <c r="C32" s="3024"/>
      <c r="D32" s="3024"/>
      <c r="E32" s="3024"/>
      <c r="F32" s="3024"/>
      <c r="G32" s="3024"/>
      <c r="H32" s="3024"/>
      <c r="I32" s="3024"/>
      <c r="J32" s="3024"/>
      <c r="K32" s="3024"/>
      <c r="L32" s="3024"/>
    </row>
    <row r="33" spans="1:23" ht="17.5" x14ac:dyDescent="0.35">
      <c r="A33" s="3024" t="s">
        <v>1218</v>
      </c>
      <c r="B33" s="3024"/>
      <c r="C33" s="3024"/>
      <c r="D33" s="3024"/>
      <c r="E33" s="3024"/>
      <c r="F33" s="3024"/>
      <c r="G33" s="3024"/>
      <c r="H33" s="3024"/>
      <c r="I33" s="3024"/>
      <c r="J33" s="3024"/>
      <c r="K33" s="3024"/>
      <c r="L33" s="3024"/>
      <c r="M33" s="3024"/>
      <c r="N33" s="3024"/>
      <c r="O33" s="3024"/>
      <c r="P33" s="3024"/>
      <c r="Q33" s="3024"/>
      <c r="R33" s="3024"/>
      <c r="S33" s="3024"/>
      <c r="T33" s="3024"/>
      <c r="U33" s="3024"/>
      <c r="V33" s="3024"/>
      <c r="W33" s="3024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3025"/>
      <c r="L34" s="3025"/>
      <c r="R34" s="3026"/>
      <c r="S34" s="3026"/>
      <c r="T34" s="3026" t="s">
        <v>631</v>
      </c>
      <c r="U34" s="3026"/>
      <c r="W34" s="541" t="s">
        <v>631</v>
      </c>
    </row>
    <row r="35" spans="1:23" x14ac:dyDescent="0.35">
      <c r="A35" s="3038" t="s">
        <v>632</v>
      </c>
      <c r="B35" s="3039"/>
      <c r="C35" s="3040"/>
      <c r="D35" s="3041" t="s">
        <v>633</v>
      </c>
      <c r="E35" s="3042"/>
      <c r="F35" s="3042"/>
      <c r="G35" s="3042"/>
      <c r="H35" s="3042"/>
      <c r="I35" s="3042"/>
      <c r="J35" s="3043"/>
      <c r="K35" s="3041" t="s">
        <v>993</v>
      </c>
      <c r="L35" s="3043"/>
      <c r="M35" s="3352" t="s">
        <v>635</v>
      </c>
      <c r="N35" s="3049" t="s">
        <v>636</v>
      </c>
      <c r="O35" s="3049" t="s">
        <v>637</v>
      </c>
      <c r="P35" s="3352" t="s">
        <v>638</v>
      </c>
      <c r="Q35" s="3068" t="s">
        <v>639</v>
      </c>
      <c r="R35" s="3028" t="s">
        <v>634</v>
      </c>
      <c r="S35" s="3029"/>
      <c r="T35" s="3028" t="s">
        <v>640</v>
      </c>
      <c r="U35" s="3029"/>
      <c r="V35" s="3043" t="s">
        <v>1199</v>
      </c>
      <c r="W35" s="3043" t="s">
        <v>1219</v>
      </c>
    </row>
    <row r="36" spans="1:23" ht="16" thickBot="1" x14ac:dyDescent="0.4">
      <c r="A36" s="3032" t="s">
        <v>641</v>
      </c>
      <c r="B36" s="3025"/>
      <c r="C36" s="3033"/>
      <c r="D36" s="3044"/>
      <c r="E36" s="3045"/>
      <c r="F36" s="3045"/>
      <c r="G36" s="3045"/>
      <c r="H36" s="3045"/>
      <c r="I36" s="3045"/>
      <c r="J36" s="3046"/>
      <c r="K36" s="3044"/>
      <c r="L36" s="3046"/>
      <c r="M36" s="3353"/>
      <c r="N36" s="3050"/>
      <c r="O36" s="3050"/>
      <c r="P36" s="3353"/>
      <c r="Q36" s="3069"/>
      <c r="R36" s="3030"/>
      <c r="S36" s="3031"/>
      <c r="T36" s="3030"/>
      <c r="U36" s="3031"/>
      <c r="V36" s="3046"/>
      <c r="W36" s="3046"/>
    </row>
    <row r="37" spans="1:23" ht="16" thickBot="1" x14ac:dyDescent="0.4">
      <c r="A37" s="972"/>
      <c r="B37" s="2946">
        <v>1</v>
      </c>
      <c r="C37" s="974"/>
      <c r="D37" s="972"/>
      <c r="E37" s="975"/>
      <c r="F37" s="975"/>
      <c r="G37" s="2946">
        <v>2</v>
      </c>
      <c r="H37" s="975"/>
      <c r="I37" s="975"/>
      <c r="J37" s="974"/>
      <c r="K37" s="3034">
        <v>3</v>
      </c>
      <c r="L37" s="3035"/>
      <c r="M37" s="2397"/>
      <c r="N37" s="2397"/>
      <c r="O37" s="2397"/>
      <c r="P37" s="2397"/>
      <c r="Q37" s="879"/>
      <c r="R37" s="3036">
        <v>3</v>
      </c>
      <c r="S37" s="3037"/>
      <c r="T37" s="3036">
        <v>3</v>
      </c>
      <c r="U37" s="3037"/>
      <c r="V37" s="2947">
        <v>4</v>
      </c>
      <c r="W37" s="2947">
        <v>5</v>
      </c>
    </row>
    <row r="38" spans="1:23" ht="15.65" customHeight="1" x14ac:dyDescent="0.25">
      <c r="A38" s="3051" t="s">
        <v>642</v>
      </c>
      <c r="B38" s="3052"/>
      <c r="C38" s="3053"/>
      <c r="D38" s="3057" t="s">
        <v>643</v>
      </c>
      <c r="E38" s="3058"/>
      <c r="F38" s="3058"/>
      <c r="G38" s="3058"/>
      <c r="H38" s="3058"/>
      <c r="I38" s="3058"/>
      <c r="J38" s="3059"/>
      <c r="K38" s="3343">
        <f>K40+K44+K47+K51+K57+K63+K82+K88+K100+K104</f>
        <v>99021.675000000017</v>
      </c>
      <c r="L38" s="3344"/>
      <c r="M38" s="3347">
        <v>17235.358</v>
      </c>
      <c r="N38" s="3347"/>
      <c r="O38" s="3347"/>
      <c r="P38" s="3347">
        <f>P40+P51+P57+P63+P82+P88+P104</f>
        <v>24432.394</v>
      </c>
      <c r="Q38" s="3347">
        <v>20829</v>
      </c>
      <c r="R38" s="3348">
        <f>R40+R51+R57+R63+R82+R88+R104+R47+R44+R100</f>
        <v>73575.200000000012</v>
      </c>
      <c r="S38" s="3349"/>
      <c r="T38" s="3348">
        <f>T40+T51+T57+T63+T82+T88+T104+T47+T44+T100</f>
        <v>75638.700000000012</v>
      </c>
      <c r="U38" s="3349"/>
      <c r="V38" s="3344">
        <f>V40+V44+V47+V51+V57+V63+V82+V88+V100+V104</f>
        <v>94765.22</v>
      </c>
      <c r="W38" s="3344">
        <f>W40+W44+W47+W51+W57+W63+W82+W88+W100+W104</f>
        <v>98533.62000000001</v>
      </c>
    </row>
    <row r="39" spans="1:23" ht="13.9" customHeight="1" thickBot="1" x14ac:dyDescent="0.3">
      <c r="A39" s="3054"/>
      <c r="B39" s="3055"/>
      <c r="C39" s="3056"/>
      <c r="D39" s="3060"/>
      <c r="E39" s="3061"/>
      <c r="F39" s="3061"/>
      <c r="G39" s="3061"/>
      <c r="H39" s="3061"/>
      <c r="I39" s="3061"/>
      <c r="J39" s="3062"/>
      <c r="K39" s="3345"/>
      <c r="L39" s="3346"/>
      <c r="M39" s="3347"/>
      <c r="N39" s="3347"/>
      <c r="O39" s="3347"/>
      <c r="P39" s="3347"/>
      <c r="Q39" s="3347"/>
      <c r="R39" s="3350"/>
      <c r="S39" s="3351"/>
      <c r="T39" s="3350"/>
      <c r="U39" s="3351"/>
      <c r="V39" s="3346"/>
      <c r="W39" s="3346"/>
    </row>
    <row r="40" spans="1:23" ht="15" x14ac:dyDescent="0.3">
      <c r="A40" s="976" t="s">
        <v>644</v>
      </c>
      <c r="B40" s="977"/>
      <c r="C40" s="978"/>
      <c r="D40" s="3057" t="s">
        <v>645</v>
      </c>
      <c r="E40" s="3058"/>
      <c r="F40" s="3058"/>
      <c r="G40" s="3058"/>
      <c r="H40" s="3058"/>
      <c r="I40" s="3058"/>
      <c r="J40" s="3059"/>
      <c r="K40" s="3343">
        <f>K42</f>
        <v>47941.895000000004</v>
      </c>
      <c r="L40" s="3344"/>
      <c r="M40" s="3347">
        <v>4523.7</v>
      </c>
      <c r="N40" s="3347"/>
      <c r="O40" s="3347"/>
      <c r="P40" s="3347">
        <f>P42</f>
        <v>5592.7</v>
      </c>
      <c r="Q40" s="3101">
        <v>4938.4639999999999</v>
      </c>
      <c r="R40" s="3348">
        <f>R42</f>
        <v>25200</v>
      </c>
      <c r="S40" s="3349"/>
      <c r="T40" s="3348">
        <f>T42</f>
        <v>26208</v>
      </c>
      <c r="U40" s="3349"/>
      <c r="V40" s="3344">
        <f>V42</f>
        <v>46373.599999999999</v>
      </c>
      <c r="W40" s="3344">
        <f>W42</f>
        <v>49712.5</v>
      </c>
    </row>
    <row r="41" spans="1:23" thickBot="1" x14ac:dyDescent="0.35">
      <c r="A41" s="979" t="s">
        <v>646</v>
      </c>
      <c r="B41" s="980"/>
      <c r="C41" s="981"/>
      <c r="D41" s="3060"/>
      <c r="E41" s="3061"/>
      <c r="F41" s="3061"/>
      <c r="G41" s="3061"/>
      <c r="H41" s="3061"/>
      <c r="I41" s="3061"/>
      <c r="J41" s="3062"/>
      <c r="K41" s="3345"/>
      <c r="L41" s="3346"/>
      <c r="M41" s="3347"/>
      <c r="N41" s="3347"/>
      <c r="O41" s="3347"/>
      <c r="P41" s="3347"/>
      <c r="Q41" s="3101"/>
      <c r="R41" s="3350"/>
      <c r="S41" s="3351"/>
      <c r="T41" s="3350"/>
      <c r="U41" s="3351"/>
      <c r="V41" s="3346"/>
      <c r="W41" s="3346"/>
    </row>
    <row r="42" spans="1:23" x14ac:dyDescent="0.35">
      <c r="A42" s="3038" t="s">
        <v>647</v>
      </c>
      <c r="B42" s="3039"/>
      <c r="C42" s="3040"/>
      <c r="D42" s="982"/>
      <c r="E42" s="983"/>
      <c r="F42" s="983"/>
      <c r="G42" s="983"/>
      <c r="H42" s="983"/>
      <c r="I42" s="983"/>
      <c r="J42" s="984"/>
      <c r="K42" s="3366">
        <f>44299.4+3500.5+142+0.005-0.001-0.009</f>
        <v>47941.895000000004</v>
      </c>
      <c r="L42" s="3359"/>
      <c r="M42" s="3347">
        <v>4523.7</v>
      </c>
      <c r="N42" s="3347">
        <v>534.5</v>
      </c>
      <c r="O42" s="3347">
        <v>534.5</v>
      </c>
      <c r="P42" s="3347">
        <f>M42+N42+O42</f>
        <v>5592.7</v>
      </c>
      <c r="Q42" s="3101">
        <v>4938.4639999999999</v>
      </c>
      <c r="R42" s="3355">
        <v>25200</v>
      </c>
      <c r="S42" s="3356"/>
      <c r="T42" s="3355">
        <v>26208</v>
      </c>
      <c r="U42" s="3356"/>
      <c r="V42" s="3359">
        <v>46373.599999999999</v>
      </c>
      <c r="W42" s="3359">
        <v>49712.5</v>
      </c>
    </row>
    <row r="43" spans="1:23" ht="16" thickBot="1" x14ac:dyDescent="0.4">
      <c r="A43" s="3032"/>
      <c r="B43" s="3025"/>
      <c r="C43" s="3033"/>
      <c r="D43" s="985" t="s">
        <v>648</v>
      </c>
      <c r="E43" s="986"/>
      <c r="F43" s="986"/>
      <c r="G43" s="986"/>
      <c r="H43" s="986"/>
      <c r="I43" s="986"/>
      <c r="J43" s="987"/>
      <c r="K43" s="3367"/>
      <c r="L43" s="3360"/>
      <c r="M43" s="3347"/>
      <c r="N43" s="3347"/>
      <c r="O43" s="3347"/>
      <c r="P43" s="3347"/>
      <c r="Q43" s="3101"/>
      <c r="R43" s="3357"/>
      <c r="S43" s="3358"/>
      <c r="T43" s="3357"/>
      <c r="U43" s="3358"/>
      <c r="V43" s="3360"/>
      <c r="W43" s="3360"/>
    </row>
    <row r="44" spans="1:23" ht="15.65" customHeight="1" x14ac:dyDescent="0.25">
      <c r="A44" s="3089" t="s">
        <v>649</v>
      </c>
      <c r="B44" s="3090"/>
      <c r="C44" s="3091"/>
      <c r="D44" s="3300" t="s">
        <v>650</v>
      </c>
      <c r="E44" s="3301"/>
      <c r="F44" s="3301"/>
      <c r="G44" s="3301"/>
      <c r="H44" s="3301"/>
      <c r="I44" s="3301"/>
      <c r="J44" s="3302"/>
      <c r="K44" s="3343">
        <f>K46</f>
        <v>948.3</v>
      </c>
      <c r="L44" s="3344"/>
      <c r="M44" s="3347">
        <v>9794</v>
      </c>
      <c r="N44" s="3347"/>
      <c r="O44" s="3347"/>
      <c r="P44" s="3347" t="e">
        <f>#REF!+P47+P48</f>
        <v>#REF!</v>
      </c>
      <c r="Q44" s="3101">
        <v>12087.288329999999</v>
      </c>
      <c r="R44" s="3348">
        <f>R46</f>
        <v>0</v>
      </c>
      <c r="S44" s="3349"/>
      <c r="T44" s="3348">
        <f>T46</f>
        <v>0</v>
      </c>
      <c r="U44" s="3349"/>
      <c r="V44" s="3344">
        <f>V46</f>
        <v>948.3</v>
      </c>
      <c r="W44" s="3344">
        <f>W46</f>
        <v>948.3</v>
      </c>
    </row>
    <row r="45" spans="1:23" ht="16.149999999999999" customHeight="1" thickBot="1" x14ac:dyDescent="0.3">
      <c r="A45" s="3092"/>
      <c r="B45" s="3093"/>
      <c r="C45" s="3094"/>
      <c r="D45" s="3303"/>
      <c r="E45" s="3304"/>
      <c r="F45" s="3304"/>
      <c r="G45" s="3304"/>
      <c r="H45" s="3304"/>
      <c r="I45" s="3304"/>
      <c r="J45" s="3305"/>
      <c r="K45" s="3345"/>
      <c r="L45" s="3346"/>
      <c r="M45" s="3347"/>
      <c r="N45" s="3347"/>
      <c r="O45" s="3347"/>
      <c r="P45" s="3347"/>
      <c r="Q45" s="3101"/>
      <c r="R45" s="3350"/>
      <c r="S45" s="3351"/>
      <c r="T45" s="3350"/>
      <c r="U45" s="3351"/>
      <c r="V45" s="3346"/>
      <c r="W45" s="3346"/>
    </row>
    <row r="46" spans="1:23" ht="31.15" customHeight="1" thickBot="1" x14ac:dyDescent="0.4">
      <c r="A46" s="3075" t="s">
        <v>651</v>
      </c>
      <c r="B46" s="3076"/>
      <c r="C46" s="3077"/>
      <c r="D46" s="3361" t="s">
        <v>652</v>
      </c>
      <c r="E46" s="3362"/>
      <c r="F46" s="3362"/>
      <c r="G46" s="3362"/>
      <c r="H46" s="3362"/>
      <c r="I46" s="3362"/>
      <c r="J46" s="3363"/>
      <c r="K46" s="3339">
        <v>948.3</v>
      </c>
      <c r="L46" s="3340"/>
      <c r="M46" s="2955">
        <v>124</v>
      </c>
      <c r="N46" s="2955"/>
      <c r="O46" s="2955"/>
      <c r="P46" s="2955">
        <f>M46+N46+O46</f>
        <v>124</v>
      </c>
      <c r="Q46" s="2948">
        <v>206.22337999999999</v>
      </c>
      <c r="R46" s="3364"/>
      <c r="S46" s="3365"/>
      <c r="T46" s="3364"/>
      <c r="U46" s="3365"/>
      <c r="V46" s="2950">
        <v>948.3</v>
      </c>
      <c r="W46" s="2950">
        <v>948.3</v>
      </c>
    </row>
    <row r="47" spans="1:23" ht="15.65" customHeight="1" x14ac:dyDescent="0.25">
      <c r="A47" s="3089" t="s">
        <v>653</v>
      </c>
      <c r="B47" s="3090"/>
      <c r="C47" s="3091"/>
      <c r="D47" s="3110" t="s">
        <v>654</v>
      </c>
      <c r="E47" s="3111"/>
      <c r="F47" s="3111"/>
      <c r="G47" s="3111"/>
      <c r="H47" s="3111"/>
      <c r="I47" s="3111"/>
      <c r="J47" s="3112"/>
      <c r="K47" s="3343">
        <f>K50</f>
        <v>597</v>
      </c>
      <c r="L47" s="3344"/>
      <c r="M47" s="3347">
        <v>9794</v>
      </c>
      <c r="N47" s="3347"/>
      <c r="O47" s="3347"/>
      <c r="P47" s="3347">
        <f>P50+P51+P52</f>
        <v>15318</v>
      </c>
      <c r="Q47" s="3101">
        <v>12087.288329999999</v>
      </c>
      <c r="R47" s="3348">
        <f>R50</f>
        <v>75.8</v>
      </c>
      <c r="S47" s="3349"/>
      <c r="T47" s="3348">
        <f>T50</f>
        <v>80</v>
      </c>
      <c r="U47" s="3349"/>
      <c r="V47" s="3344">
        <f>V50</f>
        <v>609</v>
      </c>
      <c r="W47" s="3344">
        <f>W50</f>
        <v>627.5</v>
      </c>
    </row>
    <row r="48" spans="1:23" ht="16.149999999999999" customHeight="1" thickBot="1" x14ac:dyDescent="0.3">
      <c r="A48" s="3092"/>
      <c r="B48" s="3093"/>
      <c r="C48" s="3094"/>
      <c r="D48" s="3113"/>
      <c r="E48" s="3114"/>
      <c r="F48" s="3114"/>
      <c r="G48" s="3114"/>
      <c r="H48" s="3114"/>
      <c r="I48" s="3114"/>
      <c r="J48" s="3115"/>
      <c r="K48" s="3345"/>
      <c r="L48" s="3346"/>
      <c r="M48" s="3347"/>
      <c r="N48" s="3347"/>
      <c r="O48" s="3347"/>
      <c r="P48" s="3347"/>
      <c r="Q48" s="3101"/>
      <c r="R48" s="3350"/>
      <c r="S48" s="3351"/>
      <c r="T48" s="3350"/>
      <c r="U48" s="3351"/>
      <c r="V48" s="3346"/>
      <c r="W48" s="3346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2408"/>
      <c r="L49" s="2949"/>
      <c r="M49" s="2409"/>
      <c r="N49" s="2409"/>
      <c r="O49" s="2409"/>
      <c r="P49" s="2409"/>
      <c r="Q49" s="2410"/>
      <c r="R49" s="2411"/>
      <c r="S49" s="2958"/>
      <c r="T49" s="2411"/>
      <c r="U49" s="2958"/>
      <c r="V49" s="2949"/>
      <c r="W49" s="2949"/>
    </row>
    <row r="50" spans="1:23" ht="16" thickBot="1" x14ac:dyDescent="0.4">
      <c r="A50" s="3034" t="s">
        <v>655</v>
      </c>
      <c r="B50" s="3106"/>
      <c r="C50" s="3035"/>
      <c r="D50" s="3107" t="s">
        <v>656</v>
      </c>
      <c r="E50" s="3108"/>
      <c r="F50" s="3108"/>
      <c r="G50" s="3108"/>
      <c r="H50" s="3108"/>
      <c r="I50" s="3108"/>
      <c r="J50" s="3109"/>
      <c r="K50" s="3339">
        <v>597</v>
      </c>
      <c r="L50" s="3340"/>
      <c r="M50" s="2955">
        <v>124</v>
      </c>
      <c r="N50" s="2955"/>
      <c r="O50" s="2955"/>
      <c r="P50" s="2955">
        <f>M50+N50+O50</f>
        <v>124</v>
      </c>
      <c r="Q50" s="2948">
        <v>206.22337999999999</v>
      </c>
      <c r="R50" s="3364">
        <v>75.8</v>
      </c>
      <c r="S50" s="3365"/>
      <c r="T50" s="3364">
        <v>80</v>
      </c>
      <c r="U50" s="3365"/>
      <c r="V50" s="2950">
        <v>609</v>
      </c>
      <c r="W50" s="2950">
        <v>627.5</v>
      </c>
    </row>
    <row r="51" spans="1:23" ht="15.65" customHeight="1" x14ac:dyDescent="0.25">
      <c r="A51" s="3089" t="s">
        <v>657</v>
      </c>
      <c r="B51" s="3090"/>
      <c r="C51" s="3091"/>
      <c r="D51" s="3110" t="s">
        <v>658</v>
      </c>
      <c r="E51" s="3111"/>
      <c r="F51" s="3111"/>
      <c r="G51" s="3111"/>
      <c r="H51" s="3111"/>
      <c r="I51" s="3111"/>
      <c r="J51" s="3112"/>
      <c r="K51" s="3343">
        <f>K54+K56+K55</f>
        <v>44401.5</v>
      </c>
      <c r="L51" s="3344"/>
      <c r="M51" s="3347">
        <v>9794</v>
      </c>
      <c r="N51" s="3347"/>
      <c r="O51" s="3347"/>
      <c r="P51" s="3347">
        <f>P54+P55+P56</f>
        <v>15194</v>
      </c>
      <c r="Q51" s="3101">
        <v>12087.288329999999</v>
      </c>
      <c r="R51" s="3348">
        <f>R54+R56+R55</f>
        <v>44797.8</v>
      </c>
      <c r="S51" s="3349"/>
      <c r="T51" s="3348">
        <f>T54+T56+T55</f>
        <v>46588.6</v>
      </c>
      <c r="U51" s="3349"/>
      <c r="V51" s="3344">
        <f>V54+V56</f>
        <v>43645.1</v>
      </c>
      <c r="W51" s="3344">
        <f>W54+W56</f>
        <v>44328.4</v>
      </c>
    </row>
    <row r="52" spans="1:23" ht="16.149999999999999" customHeight="1" thickBot="1" x14ac:dyDescent="0.3">
      <c r="A52" s="3092"/>
      <c r="B52" s="3093"/>
      <c r="C52" s="3094"/>
      <c r="D52" s="3113"/>
      <c r="E52" s="3114"/>
      <c r="F52" s="3114"/>
      <c r="G52" s="3114"/>
      <c r="H52" s="3114"/>
      <c r="I52" s="3114"/>
      <c r="J52" s="3115"/>
      <c r="K52" s="3345"/>
      <c r="L52" s="3346"/>
      <c r="M52" s="3347"/>
      <c r="N52" s="3347"/>
      <c r="O52" s="3347"/>
      <c r="P52" s="3347"/>
      <c r="Q52" s="3101"/>
      <c r="R52" s="3350"/>
      <c r="S52" s="3351"/>
      <c r="T52" s="3350"/>
      <c r="U52" s="3351"/>
      <c r="V52" s="3346"/>
      <c r="W52" s="3346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2408"/>
      <c r="L53" s="2949"/>
      <c r="M53" s="2409"/>
      <c r="N53" s="2409"/>
      <c r="O53" s="2409"/>
      <c r="P53" s="2409"/>
      <c r="Q53" s="2410"/>
      <c r="R53" s="2411"/>
      <c r="S53" s="2958"/>
      <c r="T53" s="2411"/>
      <c r="U53" s="2958"/>
      <c r="V53" s="2949"/>
      <c r="W53" s="2949"/>
    </row>
    <row r="54" spans="1:23" ht="16" thickBot="1" x14ac:dyDescent="0.4">
      <c r="A54" s="3034" t="s">
        <v>659</v>
      </c>
      <c r="B54" s="3106"/>
      <c r="C54" s="3035"/>
      <c r="D54" s="972" t="s">
        <v>660</v>
      </c>
      <c r="E54" s="975"/>
      <c r="F54" s="975"/>
      <c r="G54" s="975"/>
      <c r="H54" s="975"/>
      <c r="I54" s="975"/>
      <c r="J54" s="974"/>
      <c r="K54" s="3339">
        <f>5676.6+1428.9</f>
        <v>7105.5</v>
      </c>
      <c r="L54" s="3340"/>
      <c r="M54" s="2955">
        <v>124</v>
      </c>
      <c r="N54" s="2955"/>
      <c r="O54" s="2955"/>
      <c r="P54" s="2955">
        <f>M54+N54+O54</f>
        <v>124</v>
      </c>
      <c r="Q54" s="2948">
        <v>206.22337999999999</v>
      </c>
      <c r="R54" s="3364">
        <v>3816</v>
      </c>
      <c r="S54" s="3365"/>
      <c r="T54" s="3364">
        <v>3968.6</v>
      </c>
      <c r="U54" s="3365"/>
      <c r="V54" s="2950">
        <v>5790.1</v>
      </c>
      <c r="W54" s="2950">
        <v>5905.4</v>
      </c>
    </row>
    <row r="55" spans="1:23" ht="15.65" hidden="1" customHeight="1" x14ac:dyDescent="0.35">
      <c r="A55" s="3034" t="s">
        <v>661</v>
      </c>
      <c r="B55" s="3106"/>
      <c r="C55" s="3035"/>
      <c r="D55" s="996" t="s">
        <v>662</v>
      </c>
      <c r="E55" s="997"/>
      <c r="F55" s="997"/>
      <c r="G55" s="997"/>
      <c r="H55" s="997"/>
      <c r="I55" s="997"/>
      <c r="J55" s="998"/>
      <c r="K55" s="3339"/>
      <c r="L55" s="3340"/>
      <c r="M55" s="2955">
        <v>1970</v>
      </c>
      <c r="N55" s="2955">
        <v>700</v>
      </c>
      <c r="O55" s="2955">
        <v>700</v>
      </c>
      <c r="P55" s="2955">
        <f>M55+N55+O55</f>
        <v>3370</v>
      </c>
      <c r="Q55" s="2948">
        <v>2811.7408799999998</v>
      </c>
      <c r="R55" s="3364">
        <v>9783.7999999999993</v>
      </c>
      <c r="S55" s="3365"/>
      <c r="T55" s="3364">
        <v>10175</v>
      </c>
      <c r="U55" s="3365"/>
      <c r="V55" s="2950"/>
      <c r="W55" s="2950"/>
    </row>
    <row r="56" spans="1:23" ht="16" thickBot="1" x14ac:dyDescent="0.4">
      <c r="A56" s="3034" t="s">
        <v>663</v>
      </c>
      <c r="B56" s="3106"/>
      <c r="C56" s="3035"/>
      <c r="D56" s="972" t="s">
        <v>664</v>
      </c>
      <c r="E56" s="975"/>
      <c r="F56" s="975"/>
      <c r="G56" s="975"/>
      <c r="H56" s="975"/>
      <c r="I56" s="975"/>
      <c r="J56" s="974"/>
      <c r="K56" s="3339">
        <v>37296</v>
      </c>
      <c r="L56" s="3340"/>
      <c r="M56" s="2955">
        <v>7700</v>
      </c>
      <c r="N56" s="2955">
        <v>2000</v>
      </c>
      <c r="O56" s="2955">
        <v>2000</v>
      </c>
      <c r="P56" s="2955">
        <f>M56+N56+O56</f>
        <v>11700</v>
      </c>
      <c r="Q56" s="2948">
        <v>9069.3240700000006</v>
      </c>
      <c r="R56" s="3364">
        <v>31198</v>
      </c>
      <c r="S56" s="3365"/>
      <c r="T56" s="3364">
        <v>32445</v>
      </c>
      <c r="U56" s="3365"/>
      <c r="V56" s="2950">
        <v>37855</v>
      </c>
      <c r="W56" s="2950">
        <v>38423</v>
      </c>
    </row>
    <row r="57" spans="1:23" ht="15.65" customHeight="1" x14ac:dyDescent="0.25">
      <c r="A57" s="3089" t="s">
        <v>665</v>
      </c>
      <c r="B57" s="3090"/>
      <c r="C57" s="3091"/>
      <c r="D57" s="3110" t="s">
        <v>666</v>
      </c>
      <c r="E57" s="3111"/>
      <c r="F57" s="3111"/>
      <c r="G57" s="3111"/>
      <c r="H57" s="3111"/>
      <c r="I57" s="3111"/>
      <c r="J57" s="3112"/>
      <c r="K57" s="3343">
        <f>K59</f>
        <v>5</v>
      </c>
      <c r="L57" s="3344"/>
      <c r="M57" s="3347">
        <v>17</v>
      </c>
      <c r="N57" s="3347"/>
      <c r="O57" s="3347"/>
      <c r="P57" s="3347">
        <f>M57+N57+O57</f>
        <v>17</v>
      </c>
      <c r="Q57" s="3347">
        <v>3.9649999999999999</v>
      </c>
      <c r="R57" s="3348">
        <f>R59</f>
        <v>8</v>
      </c>
      <c r="S57" s="3349"/>
      <c r="T57" s="3348">
        <f>T59</f>
        <v>10</v>
      </c>
      <c r="U57" s="3349"/>
      <c r="V57" s="3344">
        <f>V59</f>
        <v>7</v>
      </c>
      <c r="W57" s="3344">
        <f>W59</f>
        <v>10</v>
      </c>
    </row>
    <row r="58" spans="1:23" ht="13.9" customHeight="1" thickBot="1" x14ac:dyDescent="0.3">
      <c r="A58" s="3092"/>
      <c r="B58" s="3093"/>
      <c r="C58" s="3094"/>
      <c r="D58" s="3113"/>
      <c r="E58" s="3114"/>
      <c r="F58" s="3114"/>
      <c r="G58" s="3114"/>
      <c r="H58" s="3114"/>
      <c r="I58" s="3114"/>
      <c r="J58" s="3115"/>
      <c r="K58" s="3345"/>
      <c r="L58" s="3346"/>
      <c r="M58" s="3347"/>
      <c r="N58" s="3347"/>
      <c r="O58" s="3347"/>
      <c r="P58" s="3347"/>
      <c r="Q58" s="3347"/>
      <c r="R58" s="3350"/>
      <c r="S58" s="3351"/>
      <c r="T58" s="3350"/>
      <c r="U58" s="3351"/>
      <c r="V58" s="3346"/>
      <c r="W58" s="3346"/>
    </row>
    <row r="59" spans="1:23" x14ac:dyDescent="0.35">
      <c r="A59" s="3041" t="s">
        <v>667</v>
      </c>
      <c r="B59" s="3042"/>
      <c r="C59" s="3043"/>
      <c r="D59" s="982" t="s">
        <v>668</v>
      </c>
      <c r="E59" s="983"/>
      <c r="F59" s="983"/>
      <c r="G59" s="983"/>
      <c r="H59" s="983"/>
      <c r="I59" s="983"/>
      <c r="J59" s="983"/>
      <c r="K59" s="3366">
        <v>5</v>
      </c>
      <c r="L59" s="3359"/>
      <c r="M59" s="3347">
        <v>17</v>
      </c>
      <c r="N59" s="3347"/>
      <c r="O59" s="3347"/>
      <c r="P59" s="3347">
        <f>M59+N59+O59</f>
        <v>17</v>
      </c>
      <c r="Q59" s="3347">
        <v>3.9649999999999999</v>
      </c>
      <c r="R59" s="3355">
        <v>8</v>
      </c>
      <c r="S59" s="3356"/>
      <c r="T59" s="3355">
        <v>10</v>
      </c>
      <c r="U59" s="3356"/>
      <c r="V59" s="3359">
        <v>7</v>
      </c>
      <c r="W59" s="3359">
        <v>10</v>
      </c>
    </row>
    <row r="60" spans="1:23" x14ac:dyDescent="0.35">
      <c r="A60" s="3120"/>
      <c r="B60" s="3121"/>
      <c r="C60" s="3122"/>
      <c r="D60" s="996" t="s">
        <v>669</v>
      </c>
      <c r="E60" s="997"/>
      <c r="F60" s="997"/>
      <c r="G60" s="997"/>
      <c r="H60" s="997"/>
      <c r="I60" s="997"/>
      <c r="J60" s="997"/>
      <c r="K60" s="3371"/>
      <c r="L60" s="3372"/>
      <c r="M60" s="3347"/>
      <c r="N60" s="3347"/>
      <c r="O60" s="3347"/>
      <c r="P60" s="3347"/>
      <c r="Q60" s="3347"/>
      <c r="R60" s="3379"/>
      <c r="S60" s="3380"/>
      <c r="T60" s="3379"/>
      <c r="U60" s="3380"/>
      <c r="V60" s="3372"/>
      <c r="W60" s="3372"/>
    </row>
    <row r="61" spans="1:23" x14ac:dyDescent="0.35">
      <c r="A61" s="3120"/>
      <c r="B61" s="3121"/>
      <c r="C61" s="3122"/>
      <c r="D61" s="996" t="s">
        <v>670</v>
      </c>
      <c r="E61" s="997"/>
      <c r="F61" s="997"/>
      <c r="G61" s="997"/>
      <c r="H61" s="997"/>
      <c r="I61" s="997"/>
      <c r="J61" s="997"/>
      <c r="K61" s="3371"/>
      <c r="L61" s="3372"/>
      <c r="M61" s="3347"/>
      <c r="N61" s="3347"/>
      <c r="O61" s="3347"/>
      <c r="P61" s="3347"/>
      <c r="Q61" s="3347"/>
      <c r="R61" s="3379"/>
      <c r="S61" s="3380"/>
      <c r="T61" s="3379"/>
      <c r="U61" s="3380"/>
      <c r="V61" s="3372"/>
      <c r="W61" s="3372"/>
    </row>
    <row r="62" spans="1:23" ht="16" thickBot="1" x14ac:dyDescent="0.4">
      <c r="A62" s="3044"/>
      <c r="B62" s="3045"/>
      <c r="C62" s="3046"/>
      <c r="D62" s="985" t="s">
        <v>671</v>
      </c>
      <c r="E62" s="986"/>
      <c r="F62" s="986"/>
      <c r="G62" s="986"/>
      <c r="H62" s="986"/>
      <c r="I62" s="986"/>
      <c r="J62" s="986"/>
      <c r="K62" s="3367"/>
      <c r="L62" s="3360"/>
      <c r="M62" s="3347"/>
      <c r="N62" s="3347"/>
      <c r="O62" s="3347"/>
      <c r="P62" s="3347"/>
      <c r="Q62" s="3347"/>
      <c r="R62" s="3357"/>
      <c r="S62" s="3358"/>
      <c r="T62" s="3357"/>
      <c r="U62" s="3358"/>
      <c r="V62" s="3360"/>
      <c r="W62" s="3360"/>
    </row>
    <row r="63" spans="1:23" ht="15" x14ac:dyDescent="0.3">
      <c r="A63" s="3089" t="s">
        <v>672</v>
      </c>
      <c r="B63" s="3090"/>
      <c r="C63" s="3091"/>
      <c r="D63" s="976" t="s">
        <v>673</v>
      </c>
      <c r="E63" s="977"/>
      <c r="F63" s="977"/>
      <c r="G63" s="977"/>
      <c r="H63" s="977"/>
      <c r="I63" s="977"/>
      <c r="J63" s="978"/>
      <c r="K63" s="3343">
        <f>K66+K70+K78+K74</f>
        <v>3251.38</v>
      </c>
      <c r="L63" s="3344"/>
      <c r="M63" s="3370">
        <v>2183.6579999999999</v>
      </c>
      <c r="N63" s="3370"/>
      <c r="O63" s="3370"/>
      <c r="P63" s="3370">
        <f>P66+P70+P78</f>
        <v>2913.6940000000004</v>
      </c>
      <c r="Q63" s="3370">
        <v>2859.2967100000001</v>
      </c>
      <c r="R63" s="3373">
        <f>R66+R70+R78+R74</f>
        <v>1933</v>
      </c>
      <c r="S63" s="3374"/>
      <c r="T63" s="3373">
        <f>T66+T70+T78+T74</f>
        <v>1975</v>
      </c>
      <c r="U63" s="3374"/>
      <c r="V63" s="3344">
        <f>V66+V70+V78+V74</f>
        <v>2890.0200000000004</v>
      </c>
      <c r="W63" s="3344">
        <f>W66+W70+W78+W74</f>
        <v>2906.92</v>
      </c>
    </row>
    <row r="64" spans="1:23" ht="15" x14ac:dyDescent="0.3">
      <c r="A64" s="3127"/>
      <c r="B64" s="3128"/>
      <c r="C64" s="3129"/>
      <c r="D64" s="999" t="s">
        <v>674</v>
      </c>
      <c r="E64" s="1000"/>
      <c r="F64" s="1000"/>
      <c r="G64" s="1000"/>
      <c r="H64" s="1000"/>
      <c r="I64" s="1000"/>
      <c r="J64" s="1001"/>
      <c r="K64" s="3368"/>
      <c r="L64" s="3369"/>
      <c r="M64" s="3370"/>
      <c r="N64" s="3370"/>
      <c r="O64" s="3370"/>
      <c r="P64" s="3370"/>
      <c r="Q64" s="3370"/>
      <c r="R64" s="3375"/>
      <c r="S64" s="3376"/>
      <c r="T64" s="3375"/>
      <c r="U64" s="3376"/>
      <c r="V64" s="3369"/>
      <c r="W64" s="3369"/>
    </row>
    <row r="65" spans="1:23" thickBot="1" x14ac:dyDescent="0.35">
      <c r="A65" s="3092"/>
      <c r="B65" s="3093"/>
      <c r="C65" s="3094"/>
      <c r="D65" s="979" t="s">
        <v>675</v>
      </c>
      <c r="E65" s="980"/>
      <c r="F65" s="980"/>
      <c r="G65" s="980"/>
      <c r="H65" s="980"/>
      <c r="I65" s="980"/>
      <c r="J65" s="981"/>
      <c r="K65" s="3345"/>
      <c r="L65" s="3346"/>
      <c r="M65" s="3370"/>
      <c r="N65" s="3370"/>
      <c r="O65" s="3370"/>
      <c r="P65" s="3370"/>
      <c r="Q65" s="3370"/>
      <c r="R65" s="3377"/>
      <c r="S65" s="3378"/>
      <c r="T65" s="3377"/>
      <c r="U65" s="3378"/>
      <c r="V65" s="3346"/>
      <c r="W65" s="3346"/>
    </row>
    <row r="66" spans="1:23" ht="15.65" hidden="1" customHeight="1" x14ac:dyDescent="0.35">
      <c r="A66" s="3041" t="s">
        <v>676</v>
      </c>
      <c r="B66" s="3042"/>
      <c r="C66" s="3043"/>
      <c r="D66" s="982" t="s">
        <v>677</v>
      </c>
      <c r="E66" s="983"/>
      <c r="F66" s="983"/>
      <c r="G66" s="983"/>
      <c r="H66" s="983"/>
      <c r="I66" s="983"/>
      <c r="J66" s="984"/>
      <c r="K66" s="3335"/>
      <c r="L66" s="3336"/>
      <c r="M66" s="3347">
        <v>1030</v>
      </c>
      <c r="N66" s="3347">
        <v>140</v>
      </c>
      <c r="O66" s="3347">
        <v>140</v>
      </c>
      <c r="P66" s="3347">
        <f>M66+N66+O66</f>
        <v>1310</v>
      </c>
      <c r="Q66" s="3347">
        <v>1430.7293099999999</v>
      </c>
      <c r="R66" s="3392"/>
      <c r="S66" s="3393"/>
      <c r="T66" s="3392"/>
      <c r="U66" s="3393"/>
      <c r="V66" s="3336"/>
      <c r="W66" s="3336"/>
    </row>
    <row r="67" spans="1:23" ht="15.65" hidden="1" customHeight="1" x14ac:dyDescent="0.35">
      <c r="A67" s="3120"/>
      <c r="B67" s="3121"/>
      <c r="C67" s="3122"/>
      <c r="D67" s="996" t="s">
        <v>678</v>
      </c>
      <c r="E67" s="997"/>
      <c r="F67" s="997"/>
      <c r="G67" s="997"/>
      <c r="H67" s="997"/>
      <c r="I67" s="997"/>
      <c r="J67" s="998"/>
      <c r="K67" s="3381"/>
      <c r="L67" s="3382"/>
      <c r="M67" s="3347"/>
      <c r="N67" s="3347"/>
      <c r="O67" s="3347"/>
      <c r="P67" s="3347"/>
      <c r="Q67" s="3347"/>
      <c r="R67" s="3394"/>
      <c r="S67" s="3395"/>
      <c r="T67" s="3394"/>
      <c r="U67" s="3395"/>
      <c r="V67" s="3382"/>
      <c r="W67" s="3382"/>
    </row>
    <row r="68" spans="1:23" ht="15.65" hidden="1" customHeight="1" x14ac:dyDescent="0.35">
      <c r="A68" s="3120"/>
      <c r="B68" s="3121"/>
      <c r="C68" s="3122"/>
      <c r="D68" s="996" t="s">
        <v>679</v>
      </c>
      <c r="E68" s="997"/>
      <c r="F68" s="997"/>
      <c r="G68" s="997"/>
      <c r="H68" s="997"/>
      <c r="I68" s="997"/>
      <c r="J68" s="998"/>
      <c r="K68" s="3381"/>
      <c r="L68" s="3382"/>
      <c r="M68" s="3347"/>
      <c r="N68" s="3347"/>
      <c r="O68" s="3347"/>
      <c r="P68" s="3347"/>
      <c r="Q68" s="3347"/>
      <c r="R68" s="3394"/>
      <c r="S68" s="3395"/>
      <c r="T68" s="3394"/>
      <c r="U68" s="3395"/>
      <c r="V68" s="3382"/>
      <c r="W68" s="3382"/>
    </row>
    <row r="69" spans="1:23" ht="15.65" hidden="1" customHeight="1" thickBot="1" x14ac:dyDescent="0.4">
      <c r="A69" s="3044"/>
      <c r="B69" s="3045"/>
      <c r="C69" s="3046"/>
      <c r="D69" s="985" t="s">
        <v>680</v>
      </c>
      <c r="E69" s="986"/>
      <c r="F69" s="986"/>
      <c r="G69" s="986"/>
      <c r="H69" s="986"/>
      <c r="I69" s="986"/>
      <c r="J69" s="987"/>
      <c r="K69" s="3337"/>
      <c r="L69" s="3338"/>
      <c r="M69" s="3347"/>
      <c r="N69" s="3347"/>
      <c r="O69" s="3347"/>
      <c r="P69" s="3347"/>
      <c r="Q69" s="3347"/>
      <c r="R69" s="3396"/>
      <c r="S69" s="3397"/>
      <c r="T69" s="3396"/>
      <c r="U69" s="3397"/>
      <c r="V69" s="3338"/>
      <c r="W69" s="3338"/>
    </row>
    <row r="70" spans="1:23" ht="15.65" customHeight="1" x14ac:dyDescent="0.25">
      <c r="A70" s="3041" t="s">
        <v>1220</v>
      </c>
      <c r="B70" s="3042"/>
      <c r="C70" s="3043"/>
      <c r="D70" s="3383" t="s">
        <v>1221</v>
      </c>
      <c r="E70" s="3384"/>
      <c r="F70" s="3384"/>
      <c r="G70" s="3384"/>
      <c r="H70" s="3384"/>
      <c r="I70" s="3384"/>
      <c r="J70" s="3385"/>
      <c r="K70" s="3366">
        <v>169.02</v>
      </c>
      <c r="L70" s="3359"/>
      <c r="M70" s="3370">
        <v>928.55</v>
      </c>
      <c r="N70" s="3370">
        <v>200</v>
      </c>
      <c r="O70" s="3370">
        <v>200</v>
      </c>
      <c r="P70" s="3370">
        <f>M70+N70+O70</f>
        <v>1328.55</v>
      </c>
      <c r="Q70" s="3370">
        <v>1007.7294000000001</v>
      </c>
      <c r="R70" s="3392"/>
      <c r="S70" s="3393"/>
      <c r="T70" s="3392"/>
      <c r="U70" s="3393"/>
      <c r="V70" s="3359">
        <v>169.02</v>
      </c>
      <c r="W70" s="3359">
        <v>169.02</v>
      </c>
    </row>
    <row r="71" spans="1:23" ht="14.25" customHeight="1" x14ac:dyDescent="0.25">
      <c r="A71" s="3120"/>
      <c r="B71" s="3121"/>
      <c r="C71" s="3122"/>
      <c r="D71" s="3386"/>
      <c r="E71" s="3387"/>
      <c r="F71" s="3387"/>
      <c r="G71" s="3387"/>
      <c r="H71" s="3387"/>
      <c r="I71" s="3387"/>
      <c r="J71" s="3388"/>
      <c r="K71" s="3371"/>
      <c r="L71" s="3372"/>
      <c r="M71" s="3370"/>
      <c r="N71" s="3370"/>
      <c r="O71" s="3370"/>
      <c r="P71" s="3370"/>
      <c r="Q71" s="3370"/>
      <c r="R71" s="3394"/>
      <c r="S71" s="3395"/>
      <c r="T71" s="3394"/>
      <c r="U71" s="3395"/>
      <c r="V71" s="3372"/>
      <c r="W71" s="3372"/>
    </row>
    <row r="72" spans="1:23" ht="15.75" customHeight="1" x14ac:dyDescent="0.25">
      <c r="A72" s="3120"/>
      <c r="B72" s="3121"/>
      <c r="C72" s="3122"/>
      <c r="D72" s="3386"/>
      <c r="E72" s="3387"/>
      <c r="F72" s="3387"/>
      <c r="G72" s="3387"/>
      <c r="H72" s="3387"/>
      <c r="I72" s="3387"/>
      <c r="J72" s="3388"/>
      <c r="K72" s="3371"/>
      <c r="L72" s="3372"/>
      <c r="M72" s="3370"/>
      <c r="N72" s="3370"/>
      <c r="O72" s="3370"/>
      <c r="P72" s="3370"/>
      <c r="Q72" s="3370"/>
      <c r="R72" s="3394"/>
      <c r="S72" s="3395"/>
      <c r="T72" s="3394"/>
      <c r="U72" s="3395"/>
      <c r="V72" s="3372"/>
      <c r="W72" s="3372"/>
    </row>
    <row r="73" spans="1:23" ht="5.15" customHeight="1" thickBot="1" x14ac:dyDescent="0.3">
      <c r="A73" s="3044"/>
      <c r="B73" s="3045"/>
      <c r="C73" s="3046"/>
      <c r="D73" s="3389"/>
      <c r="E73" s="3390"/>
      <c r="F73" s="3390"/>
      <c r="G73" s="3390"/>
      <c r="H73" s="3390"/>
      <c r="I73" s="3390"/>
      <c r="J73" s="3391"/>
      <c r="K73" s="3367"/>
      <c r="L73" s="3360"/>
      <c r="M73" s="3370"/>
      <c r="N73" s="3370"/>
      <c r="O73" s="3370"/>
      <c r="P73" s="3370"/>
      <c r="Q73" s="3370"/>
      <c r="R73" s="3396"/>
      <c r="S73" s="3397"/>
      <c r="T73" s="3396"/>
      <c r="U73" s="3397"/>
      <c r="V73" s="3360"/>
      <c r="W73" s="3360"/>
    </row>
    <row r="74" spans="1:23" x14ac:dyDescent="0.35">
      <c r="A74" s="3041" t="s">
        <v>686</v>
      </c>
      <c r="B74" s="3042"/>
      <c r="C74" s="3043"/>
      <c r="D74" s="997" t="s">
        <v>687</v>
      </c>
      <c r="E74" s="997"/>
      <c r="F74" s="997"/>
      <c r="G74" s="997"/>
      <c r="H74" s="997"/>
      <c r="I74" s="997"/>
      <c r="J74" s="998"/>
      <c r="K74" s="3366">
        <v>720.34</v>
      </c>
      <c r="L74" s="3359"/>
      <c r="M74" s="3370">
        <v>928.55</v>
      </c>
      <c r="N74" s="3370">
        <v>200</v>
      </c>
      <c r="O74" s="3370">
        <v>200</v>
      </c>
      <c r="P74" s="3370">
        <f>M74+N74+O74</f>
        <v>1328.55</v>
      </c>
      <c r="Q74" s="3370">
        <v>1007.7294000000001</v>
      </c>
      <c r="R74" s="3392">
        <v>1035</v>
      </c>
      <c r="S74" s="3393"/>
      <c r="T74" s="3392">
        <v>1040</v>
      </c>
      <c r="U74" s="3393"/>
      <c r="V74" s="3359">
        <v>720.34</v>
      </c>
      <c r="W74" s="3359">
        <v>720.34</v>
      </c>
    </row>
    <row r="75" spans="1:23" ht="14.25" customHeight="1" x14ac:dyDescent="0.35">
      <c r="A75" s="3120"/>
      <c r="B75" s="3121"/>
      <c r="C75" s="3122"/>
      <c r="D75" s="997" t="s">
        <v>688</v>
      </c>
      <c r="E75" s="997"/>
      <c r="F75" s="997"/>
      <c r="G75" s="997"/>
      <c r="H75" s="997"/>
      <c r="I75" s="997"/>
      <c r="J75" s="998"/>
      <c r="K75" s="3371"/>
      <c r="L75" s="3372"/>
      <c r="M75" s="3370"/>
      <c r="N75" s="3370"/>
      <c r="O75" s="3370"/>
      <c r="P75" s="3370"/>
      <c r="Q75" s="3370"/>
      <c r="R75" s="3394"/>
      <c r="S75" s="3395"/>
      <c r="T75" s="3394"/>
      <c r="U75" s="3395"/>
      <c r="V75" s="3372"/>
      <c r="W75" s="3372"/>
    </row>
    <row r="76" spans="1:23" ht="4" customHeight="1" thickBot="1" x14ac:dyDescent="0.4">
      <c r="A76" s="3120"/>
      <c r="B76" s="3121"/>
      <c r="C76" s="3122"/>
      <c r="D76" s="2959"/>
      <c r="E76" s="997"/>
      <c r="F76" s="997"/>
      <c r="G76" s="997"/>
      <c r="H76" s="997"/>
      <c r="I76" s="997"/>
      <c r="J76" s="998"/>
      <c r="K76" s="3371"/>
      <c r="L76" s="3372"/>
      <c r="M76" s="3370"/>
      <c r="N76" s="3370"/>
      <c r="O76" s="3370"/>
      <c r="P76" s="3370"/>
      <c r="Q76" s="3370"/>
      <c r="R76" s="3394"/>
      <c r="S76" s="3395"/>
      <c r="T76" s="3394"/>
      <c r="U76" s="3395"/>
      <c r="V76" s="3372"/>
      <c r="W76" s="3372"/>
    </row>
    <row r="77" spans="1:23" ht="4.5" hidden="1" customHeight="1" thickBot="1" x14ac:dyDescent="0.4">
      <c r="A77" s="3044"/>
      <c r="B77" s="3045"/>
      <c r="C77" s="3046"/>
      <c r="D77" s="986"/>
      <c r="E77" s="986"/>
      <c r="F77" s="986"/>
      <c r="G77" s="986"/>
      <c r="H77" s="986"/>
      <c r="I77" s="986"/>
      <c r="J77" s="987"/>
      <c r="K77" s="3367"/>
      <c r="L77" s="3360"/>
      <c r="M77" s="3370"/>
      <c r="N77" s="3370"/>
      <c r="O77" s="3370"/>
      <c r="P77" s="3370"/>
      <c r="Q77" s="3370"/>
      <c r="R77" s="3396"/>
      <c r="S77" s="3397"/>
      <c r="T77" s="3396"/>
      <c r="U77" s="3397"/>
      <c r="V77" s="3360"/>
      <c r="W77" s="3360"/>
    </row>
    <row r="78" spans="1:23" ht="15" customHeight="1" x14ac:dyDescent="0.35">
      <c r="A78" s="3041" t="s">
        <v>689</v>
      </c>
      <c r="B78" s="3042"/>
      <c r="C78" s="3043"/>
      <c r="D78" s="982" t="s">
        <v>690</v>
      </c>
      <c r="E78" s="983"/>
      <c r="F78" s="983"/>
      <c r="G78" s="983"/>
      <c r="H78" s="983"/>
      <c r="I78" s="983"/>
      <c r="J78" s="984"/>
      <c r="K78" s="3398">
        <v>2362.02</v>
      </c>
      <c r="L78" s="3399"/>
      <c r="M78" s="3404">
        <v>225.108</v>
      </c>
      <c r="N78" s="3407">
        <f>24.9+0.118</f>
        <v>25.017999999999997</v>
      </c>
      <c r="O78" s="3407">
        <v>25.018000000000001</v>
      </c>
      <c r="P78" s="3407">
        <f>M78+N78+O78</f>
        <v>275.14400000000001</v>
      </c>
      <c r="Q78" s="3407">
        <v>420.83800000000002</v>
      </c>
      <c r="R78" s="3410">
        <v>898</v>
      </c>
      <c r="S78" s="3411"/>
      <c r="T78" s="3410">
        <v>935</v>
      </c>
      <c r="U78" s="3411"/>
      <c r="V78" s="3399">
        <v>2000.66</v>
      </c>
      <c r="W78" s="3399">
        <v>2017.56</v>
      </c>
    </row>
    <row r="79" spans="1:23" ht="13.15" customHeight="1" x14ac:dyDescent="0.35">
      <c r="A79" s="3120"/>
      <c r="B79" s="3121"/>
      <c r="C79" s="3122"/>
      <c r="D79" s="996" t="s">
        <v>691</v>
      </c>
      <c r="E79" s="997"/>
      <c r="F79" s="997"/>
      <c r="G79" s="997"/>
      <c r="H79" s="997"/>
      <c r="I79" s="997"/>
      <c r="J79" s="998"/>
      <c r="K79" s="3400"/>
      <c r="L79" s="3401"/>
      <c r="M79" s="3405"/>
      <c r="N79" s="3408"/>
      <c r="O79" s="3408"/>
      <c r="P79" s="3408"/>
      <c r="Q79" s="3408"/>
      <c r="R79" s="3412"/>
      <c r="S79" s="3413"/>
      <c r="T79" s="3412"/>
      <c r="U79" s="3413"/>
      <c r="V79" s="3401"/>
      <c r="W79" s="3401"/>
    </row>
    <row r="80" spans="1:23" ht="13.15" customHeight="1" x14ac:dyDescent="0.35">
      <c r="A80" s="3120"/>
      <c r="B80" s="3121"/>
      <c r="C80" s="3122"/>
      <c r="D80" s="996" t="s">
        <v>692</v>
      </c>
      <c r="E80" s="997"/>
      <c r="F80" s="997"/>
      <c r="G80" s="997"/>
      <c r="H80" s="997"/>
      <c r="I80" s="997"/>
      <c r="J80" s="998"/>
      <c r="K80" s="3400"/>
      <c r="L80" s="3401"/>
      <c r="M80" s="3405"/>
      <c r="N80" s="3408"/>
      <c r="O80" s="3408"/>
      <c r="P80" s="3408"/>
      <c r="Q80" s="3408"/>
      <c r="R80" s="3412"/>
      <c r="S80" s="3413"/>
      <c r="T80" s="3412"/>
      <c r="U80" s="3413"/>
      <c r="V80" s="3401"/>
      <c r="W80" s="3401"/>
    </row>
    <row r="81" spans="1:23" ht="12.75" customHeight="1" thickBot="1" x14ac:dyDescent="0.4">
      <c r="A81" s="3044"/>
      <c r="B81" s="3045"/>
      <c r="C81" s="3046"/>
      <c r="D81" s="985" t="s">
        <v>693</v>
      </c>
      <c r="E81" s="986"/>
      <c r="F81" s="986"/>
      <c r="G81" s="986"/>
      <c r="H81" s="986"/>
      <c r="I81" s="986"/>
      <c r="J81" s="987"/>
      <c r="K81" s="3402"/>
      <c r="L81" s="3403"/>
      <c r="M81" s="3406"/>
      <c r="N81" s="3409"/>
      <c r="O81" s="3409"/>
      <c r="P81" s="3409"/>
      <c r="Q81" s="3409"/>
      <c r="R81" s="3414"/>
      <c r="S81" s="3415"/>
      <c r="T81" s="3414"/>
      <c r="U81" s="3415"/>
      <c r="V81" s="3403"/>
      <c r="W81" s="3403"/>
    </row>
    <row r="82" spans="1:23" ht="15" x14ac:dyDescent="0.3">
      <c r="A82" s="3089" t="s">
        <v>694</v>
      </c>
      <c r="B82" s="3090"/>
      <c r="C82" s="3091"/>
      <c r="D82" s="976" t="s">
        <v>887</v>
      </c>
      <c r="E82" s="977"/>
      <c r="F82" s="977"/>
      <c r="G82" s="977"/>
      <c r="H82" s="977"/>
      <c r="I82" s="977"/>
      <c r="J82" s="978"/>
      <c r="K82" s="3343">
        <f>K84+K87</f>
        <v>1876.6</v>
      </c>
      <c r="L82" s="3344"/>
      <c r="M82" s="3370">
        <v>97</v>
      </c>
      <c r="N82" s="3370"/>
      <c r="O82" s="3370"/>
      <c r="P82" s="3370">
        <f>P84+P87</f>
        <v>125</v>
      </c>
      <c r="Q82" s="3370">
        <v>435.29176000000001</v>
      </c>
      <c r="R82" s="3373">
        <f>R84+R87</f>
        <v>10.6</v>
      </c>
      <c r="S82" s="3374"/>
      <c r="T82" s="3373">
        <f>T84+T87</f>
        <v>11.1</v>
      </c>
      <c r="U82" s="3374"/>
      <c r="V82" s="3344">
        <f>V87</f>
        <v>292.2</v>
      </c>
      <c r="W82" s="3344">
        <f>W87</f>
        <v>0</v>
      </c>
    </row>
    <row r="83" spans="1:23" thickBot="1" x14ac:dyDescent="0.35">
      <c r="A83" s="3092"/>
      <c r="B83" s="3093"/>
      <c r="C83" s="3094"/>
      <c r="D83" s="979" t="s">
        <v>695</v>
      </c>
      <c r="E83" s="980"/>
      <c r="F83" s="980"/>
      <c r="G83" s="980"/>
      <c r="H83" s="980"/>
      <c r="I83" s="980"/>
      <c r="J83" s="981"/>
      <c r="K83" s="3345"/>
      <c r="L83" s="3346"/>
      <c r="M83" s="3370"/>
      <c r="N83" s="3370"/>
      <c r="O83" s="3370"/>
      <c r="P83" s="3370"/>
      <c r="Q83" s="3370"/>
      <c r="R83" s="3377"/>
      <c r="S83" s="3378"/>
      <c r="T83" s="3377"/>
      <c r="U83" s="3378"/>
      <c r="V83" s="3346"/>
      <c r="W83" s="3346"/>
    </row>
    <row r="84" spans="1:23" ht="15" hidden="1" customHeight="1" x14ac:dyDescent="0.35">
      <c r="A84" s="3041" t="s">
        <v>696</v>
      </c>
      <c r="B84" s="3042"/>
      <c r="C84" s="3043"/>
      <c r="D84" s="982" t="s">
        <v>697</v>
      </c>
      <c r="E84" s="983"/>
      <c r="F84" s="983"/>
      <c r="G84" s="983"/>
      <c r="H84" s="983"/>
      <c r="I84" s="983"/>
      <c r="J84" s="984"/>
      <c r="K84" s="3366"/>
      <c r="L84" s="3416"/>
      <c r="M84" s="3370">
        <v>69</v>
      </c>
      <c r="N84" s="3370">
        <v>7</v>
      </c>
      <c r="O84" s="3370">
        <v>7</v>
      </c>
      <c r="P84" s="3370">
        <f>M84+N84+O84</f>
        <v>83</v>
      </c>
      <c r="Q84" s="3370">
        <v>0.5</v>
      </c>
      <c r="R84" s="3392"/>
      <c r="S84" s="3421"/>
      <c r="T84" s="3392"/>
      <c r="U84" s="3421"/>
      <c r="V84" s="3416"/>
      <c r="W84" s="3416"/>
    </row>
    <row r="85" spans="1:23" ht="15" hidden="1" customHeight="1" x14ac:dyDescent="0.35">
      <c r="A85" s="3120"/>
      <c r="B85" s="3121"/>
      <c r="C85" s="3122"/>
      <c r="D85" s="996" t="s">
        <v>698</v>
      </c>
      <c r="E85" s="997"/>
      <c r="F85" s="997"/>
      <c r="G85" s="997"/>
      <c r="H85" s="997"/>
      <c r="I85" s="997"/>
      <c r="J85" s="998"/>
      <c r="K85" s="3417"/>
      <c r="L85" s="3418"/>
      <c r="M85" s="3370"/>
      <c r="N85" s="3370"/>
      <c r="O85" s="3370"/>
      <c r="P85" s="3370"/>
      <c r="Q85" s="3370"/>
      <c r="R85" s="3422"/>
      <c r="S85" s="3423"/>
      <c r="T85" s="3422"/>
      <c r="U85" s="3423"/>
      <c r="V85" s="3418"/>
      <c r="W85" s="3418"/>
    </row>
    <row r="86" spans="1:23" ht="7.15" hidden="1" customHeight="1" x14ac:dyDescent="0.35">
      <c r="A86" s="3168"/>
      <c r="B86" s="3169"/>
      <c r="C86" s="3170"/>
      <c r="D86" s="1003"/>
      <c r="E86" s="1004"/>
      <c r="F86" s="1004"/>
      <c r="G86" s="1004"/>
      <c r="H86" s="1004"/>
      <c r="I86" s="1004"/>
      <c r="J86" s="1005"/>
      <c r="K86" s="3419"/>
      <c r="L86" s="3420"/>
      <c r="M86" s="3370"/>
      <c r="N86" s="3370"/>
      <c r="O86" s="3370"/>
      <c r="P86" s="3370"/>
      <c r="Q86" s="3370"/>
      <c r="R86" s="3424"/>
      <c r="S86" s="3425"/>
      <c r="T86" s="3424"/>
      <c r="U86" s="3425"/>
      <c r="V86" s="3420"/>
      <c r="W86" s="3420"/>
    </row>
    <row r="87" spans="1:23" ht="16" thickBot="1" x14ac:dyDescent="0.4">
      <c r="A87" s="3188" t="s">
        <v>699</v>
      </c>
      <c r="B87" s="3189"/>
      <c r="C87" s="3190"/>
      <c r="D87" s="996" t="s">
        <v>700</v>
      </c>
      <c r="E87" s="997"/>
      <c r="F87" s="997"/>
      <c r="G87" s="997"/>
      <c r="H87" s="997"/>
      <c r="I87" s="997"/>
      <c r="J87" s="998"/>
      <c r="K87" s="3426">
        <v>1876.6</v>
      </c>
      <c r="L87" s="3427"/>
      <c r="M87" s="2951">
        <v>28</v>
      </c>
      <c r="N87" s="2951">
        <v>7</v>
      </c>
      <c r="O87" s="2951">
        <v>7</v>
      </c>
      <c r="P87" s="2951">
        <f>M87+N87+O87</f>
        <v>42</v>
      </c>
      <c r="Q87" s="2951">
        <v>434.79176000000001</v>
      </c>
      <c r="R87" s="3428">
        <v>10.6</v>
      </c>
      <c r="S87" s="3429"/>
      <c r="T87" s="3428">
        <v>11.1</v>
      </c>
      <c r="U87" s="3429"/>
      <c r="V87" s="2412">
        <v>292.2</v>
      </c>
      <c r="W87" s="2412">
        <v>0</v>
      </c>
    </row>
    <row r="88" spans="1:23" ht="15" hidden="1" x14ac:dyDescent="0.3">
      <c r="A88" s="3089" t="s">
        <v>701</v>
      </c>
      <c r="B88" s="3090"/>
      <c r="C88" s="3091"/>
      <c r="D88" s="976" t="s">
        <v>702</v>
      </c>
      <c r="E88" s="977"/>
      <c r="F88" s="977"/>
      <c r="G88" s="977"/>
      <c r="H88" s="977"/>
      <c r="I88" s="977"/>
      <c r="J88" s="978"/>
      <c r="K88" s="3343">
        <f>K91+K96+K90</f>
        <v>0</v>
      </c>
      <c r="L88" s="3344"/>
      <c r="M88" s="3370">
        <v>530</v>
      </c>
      <c r="N88" s="3370"/>
      <c r="O88" s="3370"/>
      <c r="P88" s="3370">
        <f>P90+P91+P96</f>
        <v>590</v>
      </c>
      <c r="Q88" s="3370">
        <v>375.10428000000002</v>
      </c>
      <c r="R88" s="3373">
        <f>R91+R96+R90</f>
        <v>1540</v>
      </c>
      <c r="S88" s="3374"/>
      <c r="T88" s="3373">
        <f>T91+T96+T90</f>
        <v>755</v>
      </c>
      <c r="U88" s="3374"/>
      <c r="V88" s="3344">
        <f>V91</f>
        <v>0</v>
      </c>
      <c r="W88" s="3344">
        <f>W91</f>
        <v>0</v>
      </c>
    </row>
    <row r="89" spans="1:23" hidden="1" thickBot="1" x14ac:dyDescent="0.35">
      <c r="A89" s="3092"/>
      <c r="B89" s="3093"/>
      <c r="C89" s="3094"/>
      <c r="D89" s="979" t="s">
        <v>703</v>
      </c>
      <c r="E89" s="980"/>
      <c r="F89" s="980"/>
      <c r="G89" s="980"/>
      <c r="H89" s="980"/>
      <c r="I89" s="980"/>
      <c r="J89" s="981"/>
      <c r="K89" s="3345"/>
      <c r="L89" s="3346"/>
      <c r="M89" s="3430"/>
      <c r="N89" s="3430"/>
      <c r="O89" s="3430"/>
      <c r="P89" s="3430"/>
      <c r="Q89" s="3430"/>
      <c r="R89" s="3377"/>
      <c r="S89" s="3378"/>
      <c r="T89" s="3377"/>
      <c r="U89" s="3378"/>
      <c r="V89" s="3346"/>
      <c r="W89" s="3346"/>
    </row>
    <row r="90" spans="1:23" ht="28" hidden="1" customHeight="1" thickBot="1" x14ac:dyDescent="0.4">
      <c r="A90" s="3181" t="s">
        <v>1194</v>
      </c>
      <c r="B90" s="3182"/>
      <c r="C90" s="3183"/>
      <c r="D90" s="3332" t="s">
        <v>1195</v>
      </c>
      <c r="E90" s="3333"/>
      <c r="F90" s="3333"/>
      <c r="G90" s="3333"/>
      <c r="H90" s="3333"/>
      <c r="I90" s="3333"/>
      <c r="J90" s="3334"/>
      <c r="K90" s="3431"/>
      <c r="L90" s="3432"/>
      <c r="M90" s="2417"/>
      <c r="N90" s="2418"/>
      <c r="O90" s="2418"/>
      <c r="P90" s="2418"/>
      <c r="Q90" s="2419">
        <v>62.085000000000001</v>
      </c>
      <c r="R90" s="3433"/>
      <c r="S90" s="3434"/>
      <c r="T90" s="3433"/>
      <c r="U90" s="3434"/>
      <c r="V90" s="2957"/>
      <c r="W90" s="2957"/>
    </row>
    <row r="91" spans="1:23" hidden="1" x14ac:dyDescent="0.35">
      <c r="A91" s="3198" t="s">
        <v>706</v>
      </c>
      <c r="B91" s="3199"/>
      <c r="C91" s="3200"/>
      <c r="D91" s="996" t="s">
        <v>707</v>
      </c>
      <c r="E91" s="997"/>
      <c r="F91" s="997"/>
      <c r="G91" s="997"/>
      <c r="H91" s="997"/>
      <c r="I91" s="997"/>
      <c r="J91" s="998"/>
      <c r="K91" s="3435"/>
      <c r="L91" s="3436"/>
      <c r="M91" s="3437">
        <v>190</v>
      </c>
      <c r="N91" s="3437">
        <v>30</v>
      </c>
      <c r="O91" s="3437">
        <v>30</v>
      </c>
      <c r="P91" s="3437">
        <f>M91+N91+O91</f>
        <v>250</v>
      </c>
      <c r="Q91" s="3437">
        <v>243.4375</v>
      </c>
      <c r="R91" s="3394">
        <v>1540</v>
      </c>
      <c r="S91" s="3395"/>
      <c r="T91" s="3394">
        <v>755</v>
      </c>
      <c r="U91" s="3395"/>
      <c r="V91" s="3436">
        <v>0</v>
      </c>
      <c r="W91" s="3436">
        <v>0</v>
      </c>
    </row>
    <row r="92" spans="1:23" hidden="1" x14ac:dyDescent="0.35">
      <c r="A92" s="3120"/>
      <c r="B92" s="3121"/>
      <c r="C92" s="3122"/>
      <c r="D92" s="996" t="s">
        <v>708</v>
      </c>
      <c r="E92" s="997"/>
      <c r="F92" s="997"/>
      <c r="G92" s="997"/>
      <c r="H92" s="997"/>
      <c r="I92" s="997"/>
      <c r="J92" s="998"/>
      <c r="K92" s="3371"/>
      <c r="L92" s="3372"/>
      <c r="M92" s="3370"/>
      <c r="N92" s="3370"/>
      <c r="O92" s="3370"/>
      <c r="P92" s="3370"/>
      <c r="Q92" s="3370"/>
      <c r="R92" s="3394"/>
      <c r="S92" s="3395"/>
      <c r="T92" s="3394"/>
      <c r="U92" s="3395"/>
      <c r="V92" s="3372"/>
      <c r="W92" s="3372"/>
    </row>
    <row r="93" spans="1:23" hidden="1" x14ac:dyDescent="0.35">
      <c r="A93" s="3120"/>
      <c r="B93" s="3121"/>
      <c r="C93" s="3122"/>
      <c r="D93" s="996" t="s">
        <v>709</v>
      </c>
      <c r="E93" s="997"/>
      <c r="F93" s="997"/>
      <c r="G93" s="997"/>
      <c r="H93" s="997"/>
      <c r="I93" s="997"/>
      <c r="J93" s="998"/>
      <c r="K93" s="3371"/>
      <c r="L93" s="3372"/>
      <c r="M93" s="3370"/>
      <c r="N93" s="3370"/>
      <c r="O93" s="3370"/>
      <c r="P93" s="3370"/>
      <c r="Q93" s="3370"/>
      <c r="R93" s="3394"/>
      <c r="S93" s="3395"/>
      <c r="T93" s="3394"/>
      <c r="U93" s="3395"/>
      <c r="V93" s="3372"/>
      <c r="W93" s="3372"/>
    </row>
    <row r="94" spans="1:23" hidden="1" x14ac:dyDescent="0.35">
      <c r="A94" s="3120"/>
      <c r="B94" s="3121"/>
      <c r="C94" s="3122"/>
      <c r="D94" s="996" t="s">
        <v>710</v>
      </c>
      <c r="E94" s="997"/>
      <c r="F94" s="997"/>
      <c r="G94" s="997"/>
      <c r="H94" s="997"/>
      <c r="I94" s="997"/>
      <c r="J94" s="998"/>
      <c r="K94" s="3371"/>
      <c r="L94" s="3372"/>
      <c r="M94" s="3370"/>
      <c r="N94" s="3370"/>
      <c r="O94" s="3370"/>
      <c r="P94" s="3370"/>
      <c r="Q94" s="3370"/>
      <c r="R94" s="3394"/>
      <c r="S94" s="3395"/>
      <c r="T94" s="3394"/>
      <c r="U94" s="3395"/>
      <c r="V94" s="3372"/>
      <c r="W94" s="3372"/>
    </row>
    <row r="95" spans="1:23" ht="16" hidden="1" thickBot="1" x14ac:dyDescent="0.4">
      <c r="A95" s="3044"/>
      <c r="B95" s="3045"/>
      <c r="C95" s="3046"/>
      <c r="D95" s="985" t="s">
        <v>711</v>
      </c>
      <c r="E95" s="986"/>
      <c r="F95" s="986"/>
      <c r="G95" s="986"/>
      <c r="H95" s="986"/>
      <c r="I95" s="986"/>
      <c r="J95" s="987"/>
      <c r="K95" s="3367"/>
      <c r="L95" s="3360"/>
      <c r="M95" s="3370"/>
      <c r="N95" s="3370"/>
      <c r="O95" s="3370"/>
      <c r="P95" s="3370"/>
      <c r="Q95" s="3370"/>
      <c r="R95" s="3396"/>
      <c r="S95" s="3397"/>
      <c r="T95" s="3396"/>
      <c r="U95" s="3397"/>
      <c r="V95" s="3360"/>
      <c r="W95" s="3360"/>
    </row>
    <row r="96" spans="1:23" ht="15.65" hidden="1" customHeight="1" x14ac:dyDescent="0.35">
      <c r="A96" s="3041" t="s">
        <v>712</v>
      </c>
      <c r="B96" s="3042"/>
      <c r="C96" s="3043"/>
      <c r="D96" s="996" t="s">
        <v>713</v>
      </c>
      <c r="E96" s="997"/>
      <c r="F96" s="997"/>
      <c r="G96" s="997"/>
      <c r="H96" s="997"/>
      <c r="I96" s="997"/>
      <c r="J96" s="998"/>
      <c r="K96" s="3366"/>
      <c r="L96" s="3359"/>
      <c r="M96" s="3370">
        <v>340</v>
      </c>
      <c r="N96" s="3370"/>
      <c r="O96" s="3370"/>
      <c r="P96" s="3370">
        <f>M96+N96+O96</f>
        <v>340</v>
      </c>
      <c r="Q96" s="3370">
        <v>69.581779999999995</v>
      </c>
      <c r="R96" s="3392"/>
      <c r="S96" s="3393"/>
      <c r="T96" s="3392"/>
      <c r="U96" s="3393"/>
      <c r="V96" s="3359"/>
      <c r="W96" s="3359"/>
    </row>
    <row r="97" spans="1:29" ht="15.65" hidden="1" customHeight="1" x14ac:dyDescent="0.35">
      <c r="A97" s="3120"/>
      <c r="B97" s="3121"/>
      <c r="C97" s="3122"/>
      <c r="D97" s="996" t="s">
        <v>714</v>
      </c>
      <c r="E97" s="997"/>
      <c r="F97" s="997"/>
      <c r="G97" s="997"/>
      <c r="H97" s="997"/>
      <c r="I97" s="997"/>
      <c r="J97" s="998"/>
      <c r="K97" s="3371"/>
      <c r="L97" s="3372"/>
      <c r="M97" s="3370"/>
      <c r="N97" s="3370"/>
      <c r="O97" s="3370"/>
      <c r="P97" s="3370"/>
      <c r="Q97" s="3370"/>
      <c r="R97" s="3394"/>
      <c r="S97" s="3395"/>
      <c r="T97" s="3394"/>
      <c r="U97" s="3395"/>
      <c r="V97" s="3372"/>
      <c r="W97" s="3372"/>
    </row>
    <row r="98" spans="1:29" ht="15.65" hidden="1" customHeight="1" x14ac:dyDescent="0.35">
      <c r="A98" s="3120"/>
      <c r="B98" s="3121"/>
      <c r="C98" s="3122"/>
      <c r="D98" s="996" t="s">
        <v>715</v>
      </c>
      <c r="E98" s="997"/>
      <c r="F98" s="997"/>
      <c r="G98" s="997"/>
      <c r="H98" s="997"/>
      <c r="I98" s="997"/>
      <c r="J98" s="998"/>
      <c r="K98" s="3371"/>
      <c r="L98" s="3372"/>
      <c r="M98" s="3370"/>
      <c r="N98" s="3370"/>
      <c r="O98" s="3370"/>
      <c r="P98" s="3370"/>
      <c r="Q98" s="3370"/>
      <c r="R98" s="3394"/>
      <c r="S98" s="3395"/>
      <c r="T98" s="3394"/>
      <c r="U98" s="3395"/>
      <c r="V98" s="3372"/>
      <c r="W98" s="3372"/>
    </row>
    <row r="99" spans="1:29" ht="15.75" hidden="1" customHeight="1" thickBot="1" x14ac:dyDescent="0.4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3367"/>
      <c r="L99" s="3360"/>
      <c r="M99" s="2951"/>
      <c r="N99" s="2951"/>
      <c r="O99" s="2951"/>
      <c r="P99" s="2951"/>
      <c r="Q99" s="2415"/>
      <c r="R99" s="3394"/>
      <c r="S99" s="3395"/>
      <c r="T99" s="3394"/>
      <c r="U99" s="3395"/>
      <c r="V99" s="3360"/>
      <c r="W99" s="3360"/>
    </row>
    <row r="100" spans="1:29" ht="15.75" hidden="1" customHeight="1" x14ac:dyDescent="0.35">
      <c r="A100" s="3089" t="s">
        <v>716</v>
      </c>
      <c r="B100" s="3090"/>
      <c r="C100" s="3091"/>
      <c r="D100" s="3110" t="s">
        <v>717</v>
      </c>
      <c r="E100" s="3111"/>
      <c r="F100" s="3111"/>
      <c r="G100" s="3111"/>
      <c r="H100" s="3111"/>
      <c r="I100" s="3111"/>
      <c r="J100" s="3112"/>
      <c r="K100" s="3343">
        <f>K102</f>
        <v>0</v>
      </c>
      <c r="L100" s="3344"/>
      <c r="M100" s="2951"/>
      <c r="N100" s="2951"/>
      <c r="O100" s="2951"/>
      <c r="P100" s="2951"/>
      <c r="Q100" s="2415"/>
      <c r="R100" s="3373">
        <f>R102</f>
        <v>10</v>
      </c>
      <c r="S100" s="3374"/>
      <c r="T100" s="3373">
        <f>T102</f>
        <v>11</v>
      </c>
      <c r="U100" s="3374"/>
      <c r="V100" s="3344">
        <f>V102</f>
        <v>0</v>
      </c>
      <c r="W100" s="3344">
        <f>W102</f>
        <v>0</v>
      </c>
    </row>
    <row r="101" spans="1:29" ht="15.75" hidden="1" customHeight="1" thickBot="1" x14ac:dyDescent="0.4">
      <c r="A101" s="3092"/>
      <c r="B101" s="3093"/>
      <c r="C101" s="3094"/>
      <c r="D101" s="3113"/>
      <c r="E101" s="3114"/>
      <c r="F101" s="3114"/>
      <c r="G101" s="3114"/>
      <c r="H101" s="3114"/>
      <c r="I101" s="3114"/>
      <c r="J101" s="3115"/>
      <c r="K101" s="3345"/>
      <c r="L101" s="3346"/>
      <c r="M101" s="2951"/>
      <c r="N101" s="2951"/>
      <c r="O101" s="2951"/>
      <c r="P101" s="2951"/>
      <c r="Q101" s="2415"/>
      <c r="R101" s="3440"/>
      <c r="S101" s="3441"/>
      <c r="T101" s="3440"/>
      <c r="U101" s="3441"/>
      <c r="V101" s="3346"/>
      <c r="W101" s="3346"/>
    </row>
    <row r="102" spans="1:29" ht="15.75" hidden="1" customHeight="1" x14ac:dyDescent="0.35">
      <c r="A102" s="3041" t="s">
        <v>1105</v>
      </c>
      <c r="B102" s="3042"/>
      <c r="C102" s="3043"/>
      <c r="D102" s="3203" t="s">
        <v>999</v>
      </c>
      <c r="E102" s="3204"/>
      <c r="F102" s="3204"/>
      <c r="G102" s="3204"/>
      <c r="H102" s="3204"/>
      <c r="I102" s="3204"/>
      <c r="J102" s="3205"/>
      <c r="K102" s="3366"/>
      <c r="L102" s="3359"/>
      <c r="M102" s="2951"/>
      <c r="N102" s="2951"/>
      <c r="O102" s="2951"/>
      <c r="P102" s="2951"/>
      <c r="Q102" s="2415"/>
      <c r="R102" s="3392">
        <v>10</v>
      </c>
      <c r="S102" s="3393"/>
      <c r="T102" s="3392">
        <v>11</v>
      </c>
      <c r="U102" s="3393"/>
      <c r="V102" s="3359"/>
      <c r="W102" s="3359"/>
    </row>
    <row r="103" spans="1:29" ht="27" hidden="1" customHeight="1" thickBot="1" x14ac:dyDescent="0.4">
      <c r="A103" s="3044"/>
      <c r="B103" s="3045"/>
      <c r="C103" s="3046"/>
      <c r="D103" s="3206"/>
      <c r="E103" s="3207"/>
      <c r="F103" s="3207"/>
      <c r="G103" s="3207"/>
      <c r="H103" s="3207"/>
      <c r="I103" s="3207"/>
      <c r="J103" s="3208"/>
      <c r="K103" s="3367"/>
      <c r="L103" s="3360"/>
      <c r="M103" s="2951"/>
      <c r="N103" s="2951"/>
      <c r="O103" s="2951"/>
      <c r="P103" s="2951"/>
      <c r="Q103" s="2415"/>
      <c r="R103" s="3438"/>
      <c r="S103" s="3439"/>
      <c r="T103" s="3438"/>
      <c r="U103" s="3439"/>
      <c r="V103" s="3360"/>
      <c r="W103" s="3360"/>
    </row>
    <row r="104" spans="1:29" ht="15" hidden="1" x14ac:dyDescent="0.3">
      <c r="A104" s="3051" t="s">
        <v>720</v>
      </c>
      <c r="B104" s="3052"/>
      <c r="C104" s="3053"/>
      <c r="D104" s="976"/>
      <c r="E104" s="977"/>
      <c r="F104" s="977"/>
      <c r="G104" s="977"/>
      <c r="H104" s="977"/>
      <c r="I104" s="977"/>
      <c r="J104" s="978"/>
      <c r="K104" s="3442">
        <f>K106</f>
        <v>0</v>
      </c>
      <c r="L104" s="3443"/>
      <c r="M104" s="3347">
        <v>90</v>
      </c>
      <c r="N104" s="3347"/>
      <c r="O104" s="3347"/>
      <c r="P104" s="3347">
        <f>P106</f>
        <v>0</v>
      </c>
      <c r="Q104" s="3347">
        <v>129.83756</v>
      </c>
      <c r="R104" s="3373">
        <f>R106</f>
        <v>0</v>
      </c>
      <c r="S104" s="3374"/>
      <c r="T104" s="3373">
        <f>T106</f>
        <v>0</v>
      </c>
      <c r="U104" s="3374"/>
      <c r="V104" s="3443">
        <f>V106</f>
        <v>0</v>
      </c>
      <c r="W104" s="3443">
        <f>W106</f>
        <v>0</v>
      </c>
    </row>
    <row r="105" spans="1:29" hidden="1" thickBot="1" x14ac:dyDescent="0.35">
      <c r="A105" s="3054"/>
      <c r="B105" s="3055"/>
      <c r="C105" s="3056"/>
      <c r="D105" s="1009" t="s">
        <v>721</v>
      </c>
      <c r="E105" s="1010"/>
      <c r="F105" s="1010"/>
      <c r="G105" s="1010"/>
      <c r="H105" s="1010"/>
      <c r="I105" s="1010"/>
      <c r="J105" s="1011"/>
      <c r="K105" s="3444"/>
      <c r="L105" s="3445"/>
      <c r="M105" s="3347"/>
      <c r="N105" s="3347"/>
      <c r="O105" s="3347"/>
      <c r="P105" s="3347"/>
      <c r="Q105" s="3347"/>
      <c r="R105" s="3440"/>
      <c r="S105" s="3441"/>
      <c r="T105" s="3440"/>
      <c r="U105" s="3441"/>
      <c r="V105" s="3445"/>
      <c r="W105" s="3445"/>
    </row>
    <row r="106" spans="1:29" ht="15" hidden="1" customHeight="1" x14ac:dyDescent="0.3">
      <c r="A106" s="3038" t="s">
        <v>722</v>
      </c>
      <c r="B106" s="3039"/>
      <c r="C106" s="3040"/>
      <c r="D106" s="976"/>
      <c r="E106" s="977"/>
      <c r="F106" s="977"/>
      <c r="G106" s="977"/>
      <c r="H106" s="977"/>
      <c r="I106" s="977"/>
      <c r="J106" s="978"/>
      <c r="K106" s="3335"/>
      <c r="L106" s="3336"/>
      <c r="M106" s="3347"/>
      <c r="N106" s="3347"/>
      <c r="O106" s="3347"/>
      <c r="P106" s="3347"/>
      <c r="Q106" s="3347"/>
      <c r="R106" s="3392"/>
      <c r="S106" s="3393"/>
      <c r="T106" s="3392"/>
      <c r="U106" s="3393"/>
      <c r="V106" s="3336"/>
      <c r="W106" s="3336"/>
    </row>
    <row r="107" spans="1:29" ht="16" hidden="1" thickBot="1" x14ac:dyDescent="0.4">
      <c r="A107" s="3032"/>
      <c r="B107" s="3025"/>
      <c r="C107" s="3033"/>
      <c r="D107" s="1003" t="s">
        <v>723</v>
      </c>
      <c r="E107" s="1010"/>
      <c r="F107" s="1010"/>
      <c r="G107" s="1010"/>
      <c r="H107" s="1010"/>
      <c r="I107" s="1010"/>
      <c r="J107" s="1011"/>
      <c r="K107" s="3337"/>
      <c r="L107" s="3338"/>
      <c r="M107" s="3347"/>
      <c r="N107" s="3347"/>
      <c r="O107" s="3347"/>
      <c r="P107" s="3347"/>
      <c r="Q107" s="3347"/>
      <c r="R107" s="3438"/>
      <c r="S107" s="3439"/>
      <c r="T107" s="3438"/>
      <c r="U107" s="3439"/>
      <c r="V107" s="3382"/>
      <c r="W107" s="3338"/>
    </row>
    <row r="108" spans="1:29" ht="15" x14ac:dyDescent="0.3">
      <c r="A108" s="3051" t="s">
        <v>724</v>
      </c>
      <c r="B108" s="3052"/>
      <c r="C108" s="3053"/>
      <c r="D108" s="976"/>
      <c r="E108" s="977"/>
      <c r="F108" s="977"/>
      <c r="G108" s="977"/>
      <c r="H108" s="977"/>
      <c r="I108" s="977"/>
      <c r="J108" s="978"/>
      <c r="K108" s="3343">
        <f>K111+K112+K113+K115+K116+K117+K118+K119+K120+K122+K121+K125+K126+K114+K123</f>
        <v>64650.667339999993</v>
      </c>
      <c r="L108" s="3344">
        <f t="shared" ref="L108" si="0">SUM(L111:L126)</f>
        <v>0</v>
      </c>
      <c r="M108" s="3370">
        <v>8484.0619999999999</v>
      </c>
      <c r="N108" s="3370"/>
      <c r="O108" s="3370"/>
      <c r="P108" s="3370">
        <f>P111+P125+P126+P127+P130</f>
        <v>8524.0619999999999</v>
      </c>
      <c r="Q108" s="3370">
        <v>3580.9459499999998</v>
      </c>
      <c r="R108" s="3373">
        <f>R111+R125+R126+R127+R130+R112+S116+R129+R119+R117</f>
        <v>810.5</v>
      </c>
      <c r="S108" s="3374"/>
      <c r="T108" s="3373">
        <f>T111+T125+T126+T127+T130+T112+U116+T129+T119+T117</f>
        <v>818.5</v>
      </c>
      <c r="U108" s="3446"/>
      <c r="V108" s="3449">
        <f>V111+V112+V113+V115+V116+V117+V118+V119+V120+V122+V121+V125+V126</f>
        <v>17128.5</v>
      </c>
      <c r="W108" s="3344">
        <f>W111+W112+W113+W115+W116+W117+W118+W119+W120+W122+W121+W125+W126</f>
        <v>13447.2</v>
      </c>
      <c r="X108" s="547">
        <f t="shared" ref="X108" si="1">SUM(X111:X126)</f>
        <v>2174.9</v>
      </c>
    </row>
    <row r="109" spans="1:29" ht="15" x14ac:dyDescent="0.3">
      <c r="A109" s="3231"/>
      <c r="B109" s="3232"/>
      <c r="C109" s="3233"/>
      <c r="D109" s="999" t="s">
        <v>725</v>
      </c>
      <c r="E109" s="1000"/>
      <c r="F109" s="1000"/>
      <c r="G109" s="1000"/>
      <c r="H109" s="1000"/>
      <c r="I109" s="1000"/>
      <c r="J109" s="1001"/>
      <c r="K109" s="3368"/>
      <c r="L109" s="3369"/>
      <c r="M109" s="3370"/>
      <c r="N109" s="3370"/>
      <c r="O109" s="3370"/>
      <c r="P109" s="3370"/>
      <c r="Q109" s="3370"/>
      <c r="R109" s="3375"/>
      <c r="S109" s="3376"/>
      <c r="T109" s="3375"/>
      <c r="U109" s="3447"/>
      <c r="V109" s="3450"/>
      <c r="W109" s="3369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3345"/>
      <c r="L110" s="3346"/>
      <c r="M110" s="2951"/>
      <c r="N110" s="2951"/>
      <c r="O110" s="2951"/>
      <c r="P110" s="2951"/>
      <c r="Q110" s="2415"/>
      <c r="R110" s="3377"/>
      <c r="S110" s="3378"/>
      <c r="T110" s="3377"/>
      <c r="U110" s="3448"/>
      <c r="V110" s="3451"/>
      <c r="W110" s="3346"/>
    </row>
    <row r="111" spans="1:29" ht="34.5" customHeight="1" thickBot="1" x14ac:dyDescent="0.4">
      <c r="A111" s="3211" t="s">
        <v>1185</v>
      </c>
      <c r="B111" s="3212"/>
      <c r="C111" s="3213"/>
      <c r="D111" s="3214" t="s">
        <v>1186</v>
      </c>
      <c r="E111" s="3225"/>
      <c r="F111" s="3225"/>
      <c r="G111" s="3225"/>
      <c r="H111" s="3225"/>
      <c r="I111" s="3225"/>
      <c r="J111" s="3226"/>
      <c r="K111" s="3339">
        <v>12714.1</v>
      </c>
      <c r="L111" s="3340"/>
      <c r="M111" s="2955">
        <v>6410.5</v>
      </c>
      <c r="N111" s="2955"/>
      <c r="O111" s="2955"/>
      <c r="P111" s="2955">
        <f>M111</f>
        <v>6410.5</v>
      </c>
      <c r="Q111" s="2948">
        <v>1538.52</v>
      </c>
      <c r="R111" s="3452"/>
      <c r="S111" s="3453"/>
      <c r="T111" s="3452"/>
      <c r="U111" s="3453"/>
      <c r="V111" s="2956">
        <v>13074.2</v>
      </c>
      <c r="W111" s="2950">
        <v>13440.1</v>
      </c>
    </row>
    <row r="112" spans="1:29" ht="34.5" customHeight="1" thickBot="1" x14ac:dyDescent="0.4">
      <c r="A112" s="3236" t="s">
        <v>1001</v>
      </c>
      <c r="B112" s="3237"/>
      <c r="C112" s="3238"/>
      <c r="D112" s="3329" t="s">
        <v>1002</v>
      </c>
      <c r="E112" s="3330"/>
      <c r="F112" s="3330"/>
      <c r="G112" s="3330"/>
      <c r="H112" s="3330"/>
      <c r="I112" s="3330"/>
      <c r="J112" s="3331"/>
      <c r="K112" s="3339">
        <v>5654.89</v>
      </c>
      <c r="L112" s="3340"/>
      <c r="M112" s="2955"/>
      <c r="N112" s="2955"/>
      <c r="O112" s="2955"/>
      <c r="P112" s="2955"/>
      <c r="Q112" s="2948"/>
      <c r="R112" s="2413"/>
      <c r="S112" s="2414"/>
      <c r="T112" s="2413"/>
      <c r="U112" s="2414"/>
      <c r="V112" s="2952">
        <v>2368</v>
      </c>
      <c r="W112" s="2952">
        <v>0</v>
      </c>
      <c r="AC112" s="547">
        <v>95</v>
      </c>
    </row>
    <row r="113" spans="1:30" ht="84" customHeight="1" thickBot="1" x14ac:dyDescent="0.4">
      <c r="A113" s="3236" t="s">
        <v>975</v>
      </c>
      <c r="B113" s="3237"/>
      <c r="C113" s="3238"/>
      <c r="D113" s="3214" t="s">
        <v>1237</v>
      </c>
      <c r="E113" s="3215"/>
      <c r="F113" s="3215"/>
      <c r="G113" s="3215"/>
      <c r="H113" s="3215"/>
      <c r="I113" s="3215"/>
      <c r="J113" s="3216"/>
      <c r="K113" s="3339">
        <f>24878.28243</f>
        <v>24878.282429999999</v>
      </c>
      <c r="L113" s="3340"/>
      <c r="M113" s="2951"/>
      <c r="N113" s="2951"/>
      <c r="O113" s="2951"/>
      <c r="P113" s="2951"/>
      <c r="Q113" s="2415"/>
      <c r="R113" s="2953"/>
      <c r="S113" s="2954"/>
      <c r="T113" s="2953"/>
      <c r="U113" s="2954"/>
      <c r="V113" s="2950">
        <v>0</v>
      </c>
      <c r="W113" s="2950">
        <v>0</v>
      </c>
      <c r="AB113" s="550"/>
      <c r="AC113" s="547">
        <v>-5.7</v>
      </c>
      <c r="AD113" s="547">
        <v>383.2</v>
      </c>
    </row>
    <row r="114" spans="1:30" ht="43.5" customHeight="1" thickBot="1" x14ac:dyDescent="0.4">
      <c r="A114" s="3236" t="s">
        <v>1115</v>
      </c>
      <c r="B114" s="3237"/>
      <c r="C114" s="3238"/>
      <c r="D114" s="3454" t="s">
        <v>1123</v>
      </c>
      <c r="E114" s="3455"/>
      <c r="F114" s="3455"/>
      <c r="G114" s="3455"/>
      <c r="H114" s="3455"/>
      <c r="I114" s="3455"/>
      <c r="J114" s="3456"/>
      <c r="K114" s="3339">
        <v>8773.9549100000004</v>
      </c>
      <c r="L114" s="3340"/>
      <c r="M114" s="2955">
        <v>485.56200000000001</v>
      </c>
      <c r="N114" s="2955"/>
      <c r="O114" s="2955"/>
      <c r="P114" s="2955">
        <v>485.56200000000001</v>
      </c>
      <c r="Q114" s="2948">
        <v>485.56200000000001</v>
      </c>
      <c r="R114" s="2416"/>
      <c r="S114" s="2945"/>
      <c r="T114" s="2416"/>
      <c r="U114" s="2945"/>
      <c r="V114" s="2950">
        <v>0</v>
      </c>
      <c r="W114" s="2950">
        <v>0</v>
      </c>
      <c r="AB114" s="550"/>
    </row>
    <row r="115" spans="1:30" ht="0.75" customHeight="1" thickBot="1" x14ac:dyDescent="0.4">
      <c r="A115" s="3236" t="s">
        <v>1158</v>
      </c>
      <c r="B115" s="3237"/>
      <c r="C115" s="3238"/>
      <c r="D115" s="3454" t="s">
        <v>1159</v>
      </c>
      <c r="E115" s="3455"/>
      <c r="F115" s="3455"/>
      <c r="G115" s="3455"/>
      <c r="H115" s="3455"/>
      <c r="I115" s="3455"/>
      <c r="J115" s="3456"/>
      <c r="K115" s="3457"/>
      <c r="L115" s="3458"/>
      <c r="M115" s="2955"/>
      <c r="N115" s="2955"/>
      <c r="O115" s="2955"/>
      <c r="P115" s="2955"/>
      <c r="Q115" s="2948"/>
      <c r="R115" s="2416"/>
      <c r="S115" s="2945"/>
      <c r="T115" s="2416"/>
      <c r="U115" s="2945"/>
      <c r="V115" s="2950">
        <v>0</v>
      </c>
      <c r="W115" s="2950">
        <v>0</v>
      </c>
      <c r="AB115" s="550"/>
    </row>
    <row r="116" spans="1:30" ht="66" customHeight="1" thickBot="1" x14ac:dyDescent="0.4">
      <c r="A116" s="3211" t="s">
        <v>974</v>
      </c>
      <c r="B116" s="3212"/>
      <c r="C116" s="3213"/>
      <c r="D116" s="3214" t="s">
        <v>1209</v>
      </c>
      <c r="E116" s="3215"/>
      <c r="F116" s="3215"/>
      <c r="G116" s="3215"/>
      <c r="H116" s="3215"/>
      <c r="I116" s="3215"/>
      <c r="J116" s="3216"/>
      <c r="K116" s="3339">
        <v>1781.8</v>
      </c>
      <c r="L116" s="3340"/>
      <c r="M116" s="2955">
        <v>485.56200000000001</v>
      </c>
      <c r="N116" s="2955"/>
      <c r="O116" s="2955"/>
      <c r="P116" s="2955">
        <v>485.56200000000001</v>
      </c>
      <c r="Q116" s="2948">
        <v>485.56200000000001</v>
      </c>
      <c r="R116" s="2416"/>
      <c r="S116" s="2945"/>
      <c r="T116" s="2416"/>
      <c r="U116" s="2945"/>
      <c r="V116" s="2950">
        <v>0</v>
      </c>
      <c r="W116" s="2950">
        <v>0</v>
      </c>
      <c r="X116" s="1791">
        <v>1333.1</v>
      </c>
      <c r="Y116" s="1790">
        <v>1333.1</v>
      </c>
      <c r="Z116" s="1790">
        <v>1333.1</v>
      </c>
      <c r="AB116" s="2237">
        <f>278.4+643.25+2136.73+405.4</f>
        <v>3463.78</v>
      </c>
      <c r="AC116" s="547">
        <f>-1333.1</f>
        <v>-1333.1</v>
      </c>
    </row>
    <row r="117" spans="1:30" ht="72.75" customHeight="1" thickBot="1" x14ac:dyDescent="0.4">
      <c r="A117" s="3211" t="s">
        <v>974</v>
      </c>
      <c r="B117" s="3212"/>
      <c r="C117" s="3213"/>
      <c r="D117" s="3329" t="s">
        <v>1100</v>
      </c>
      <c r="E117" s="3330"/>
      <c r="F117" s="3330"/>
      <c r="G117" s="3330"/>
      <c r="H117" s="3330"/>
      <c r="I117" s="3330"/>
      <c r="J117" s="3331"/>
      <c r="K117" s="3253">
        <v>412.6</v>
      </c>
      <c r="L117" s="3254"/>
      <c r="M117" s="2955"/>
      <c r="N117" s="2955"/>
      <c r="O117" s="2955"/>
      <c r="P117" s="2955"/>
      <c r="Q117" s="2948"/>
      <c r="R117" s="3255"/>
      <c r="S117" s="3256"/>
      <c r="T117" s="3255"/>
      <c r="U117" s="3256"/>
      <c r="V117" s="2943">
        <v>0</v>
      </c>
      <c r="W117" s="2943">
        <v>0</v>
      </c>
      <c r="X117" s="1791"/>
      <c r="Y117" s="1790"/>
      <c r="Z117" s="1790"/>
    </row>
    <row r="118" spans="1:30" ht="48.75" customHeight="1" thickBot="1" x14ac:dyDescent="0.4">
      <c r="A118" s="3211" t="s">
        <v>974</v>
      </c>
      <c r="B118" s="3212"/>
      <c r="C118" s="3213"/>
      <c r="D118" s="3329" t="s">
        <v>1101</v>
      </c>
      <c r="E118" s="3330"/>
      <c r="F118" s="3330"/>
      <c r="G118" s="3330"/>
      <c r="H118" s="3330"/>
      <c r="I118" s="3330"/>
      <c r="J118" s="3331"/>
      <c r="K118" s="3253">
        <v>1053.0999999999999</v>
      </c>
      <c r="L118" s="3254"/>
      <c r="M118" s="2955"/>
      <c r="N118" s="2955"/>
      <c r="O118" s="2955"/>
      <c r="P118" s="2955"/>
      <c r="Q118" s="2948"/>
      <c r="R118" s="2944"/>
      <c r="S118" s="2945"/>
      <c r="T118" s="2944"/>
      <c r="U118" s="2945"/>
      <c r="V118" s="2943">
        <v>787.2</v>
      </c>
      <c r="W118" s="2943">
        <v>0</v>
      </c>
      <c r="X118" s="1791"/>
      <c r="Y118" s="1790"/>
      <c r="Z118" s="1790"/>
    </row>
    <row r="119" spans="1:30" ht="67.5" customHeight="1" thickBot="1" x14ac:dyDescent="0.4">
      <c r="A119" s="3211" t="s">
        <v>974</v>
      </c>
      <c r="B119" s="3212"/>
      <c r="C119" s="3213"/>
      <c r="D119" s="3246" t="s">
        <v>1102</v>
      </c>
      <c r="E119" s="3247"/>
      <c r="F119" s="3247"/>
      <c r="G119" s="3247"/>
      <c r="H119" s="3247"/>
      <c r="I119" s="3247"/>
      <c r="J119" s="3248"/>
      <c r="K119" s="3253">
        <v>2109.6999999999998</v>
      </c>
      <c r="L119" s="3254"/>
      <c r="M119" s="2955"/>
      <c r="N119" s="2955"/>
      <c r="O119" s="2955"/>
      <c r="P119" s="2955"/>
      <c r="Q119" s="2948"/>
      <c r="R119" s="3255"/>
      <c r="S119" s="3256"/>
      <c r="T119" s="3255"/>
      <c r="U119" s="3256"/>
      <c r="V119" s="2943">
        <v>0</v>
      </c>
      <c r="W119" s="2943">
        <v>0</v>
      </c>
      <c r="X119" s="1791"/>
      <c r="Y119" s="1790"/>
      <c r="Z119" s="1790"/>
    </row>
    <row r="120" spans="1:30" ht="33" customHeight="1" thickBot="1" x14ac:dyDescent="0.4">
      <c r="A120" s="3211" t="s">
        <v>974</v>
      </c>
      <c r="B120" s="3212"/>
      <c r="C120" s="3213"/>
      <c r="D120" s="3214" t="s">
        <v>1187</v>
      </c>
      <c r="E120" s="3225"/>
      <c r="F120" s="3225"/>
      <c r="G120" s="3225"/>
      <c r="H120" s="3225"/>
      <c r="I120" s="3225"/>
      <c r="J120" s="3226"/>
      <c r="K120" s="3253">
        <v>300</v>
      </c>
      <c r="L120" s="3254"/>
      <c r="M120" s="2955">
        <v>613</v>
      </c>
      <c r="N120" s="2955"/>
      <c r="O120" s="2955"/>
      <c r="P120" s="2955">
        <v>613</v>
      </c>
      <c r="Q120" s="2948">
        <v>613</v>
      </c>
      <c r="R120" s="3255"/>
      <c r="S120" s="3256"/>
      <c r="T120" s="3255"/>
      <c r="U120" s="3256"/>
      <c r="V120" s="2943">
        <v>0</v>
      </c>
      <c r="W120" s="2943">
        <v>0</v>
      </c>
      <c r="X120" s="1791"/>
      <c r="Y120" s="1790"/>
      <c r="Z120" s="1790"/>
    </row>
    <row r="121" spans="1:30" ht="34.5" customHeight="1" thickBot="1" x14ac:dyDescent="0.4">
      <c r="A121" s="3211" t="s">
        <v>974</v>
      </c>
      <c r="B121" s="3212"/>
      <c r="C121" s="3213"/>
      <c r="D121" s="3214" t="s">
        <v>1151</v>
      </c>
      <c r="E121" s="3215"/>
      <c r="F121" s="3215"/>
      <c r="G121" s="3215"/>
      <c r="H121" s="3215"/>
      <c r="I121" s="3215"/>
      <c r="J121" s="3216"/>
      <c r="K121" s="3253">
        <v>851</v>
      </c>
      <c r="L121" s="3254"/>
      <c r="M121" s="2955"/>
      <c r="N121" s="2955"/>
      <c r="O121" s="2955"/>
      <c r="P121" s="2955"/>
      <c r="Q121" s="2948"/>
      <c r="R121" s="2944"/>
      <c r="S121" s="2945"/>
      <c r="T121" s="2944"/>
      <c r="U121" s="2945"/>
      <c r="V121" s="2943">
        <v>0</v>
      </c>
      <c r="W121" s="2943">
        <v>0</v>
      </c>
      <c r="X121" s="1791"/>
      <c r="Y121" s="1790"/>
      <c r="Z121" s="1790"/>
    </row>
    <row r="122" spans="1:30" ht="35.25" customHeight="1" thickBot="1" x14ac:dyDescent="0.4">
      <c r="A122" s="3211" t="s">
        <v>974</v>
      </c>
      <c r="B122" s="3212"/>
      <c r="C122" s="3213"/>
      <c r="D122" s="3214" t="s">
        <v>1210</v>
      </c>
      <c r="E122" s="3215"/>
      <c r="F122" s="3215"/>
      <c r="G122" s="3215"/>
      <c r="H122" s="3215"/>
      <c r="I122" s="3215"/>
      <c r="J122" s="3216"/>
      <c r="K122" s="3253">
        <f>4949.955+0.045</f>
        <v>4950</v>
      </c>
      <c r="L122" s="3254"/>
      <c r="M122" s="2955"/>
      <c r="N122" s="2955"/>
      <c r="O122" s="2955"/>
      <c r="P122" s="2955"/>
      <c r="Q122" s="2948"/>
      <c r="R122" s="2944"/>
      <c r="S122" s="2945"/>
      <c r="T122" s="2944"/>
      <c r="U122" s="2945"/>
      <c r="V122" s="2943">
        <v>0</v>
      </c>
      <c r="W122" s="2943">
        <f>6291-6291</f>
        <v>0</v>
      </c>
      <c r="X122" s="1791"/>
      <c r="Y122" s="1790"/>
      <c r="Z122" s="1790"/>
    </row>
    <row r="123" spans="1:30" ht="43.5" customHeight="1" thickBot="1" x14ac:dyDescent="0.4">
      <c r="A123" s="3211" t="s">
        <v>974</v>
      </c>
      <c r="B123" s="3212"/>
      <c r="C123" s="3213"/>
      <c r="D123" s="3214" t="s">
        <v>1371</v>
      </c>
      <c r="E123" s="3215"/>
      <c r="F123" s="3215"/>
      <c r="G123" s="3215"/>
      <c r="H123" s="3215"/>
      <c r="I123" s="3215"/>
      <c r="J123" s="3216"/>
      <c r="K123" s="3253">
        <v>585</v>
      </c>
      <c r="L123" s="3254"/>
      <c r="M123" s="2955"/>
      <c r="N123" s="2955"/>
      <c r="O123" s="2955"/>
      <c r="P123" s="2955"/>
      <c r="Q123" s="2948"/>
      <c r="R123" s="2944"/>
      <c r="S123" s="2945"/>
      <c r="T123" s="2944"/>
      <c r="U123" s="2945"/>
      <c r="V123" s="2943">
        <v>0</v>
      </c>
      <c r="W123" s="2943">
        <v>0</v>
      </c>
      <c r="X123" s="1791"/>
      <c r="Y123" s="1790"/>
      <c r="Z123" s="1790"/>
    </row>
    <row r="124" spans="1:30" ht="41.25" hidden="1" customHeight="1" thickBot="1" x14ac:dyDescent="0.4">
      <c r="A124" s="3211" t="s">
        <v>974</v>
      </c>
      <c r="B124" s="3212"/>
      <c r="C124" s="3213"/>
      <c r="D124" s="3214" t="s">
        <v>1157</v>
      </c>
      <c r="E124" s="3215"/>
      <c r="F124" s="3215"/>
      <c r="G124" s="3215"/>
      <c r="H124" s="3215"/>
      <c r="I124" s="3215"/>
      <c r="J124" s="3216"/>
      <c r="K124" s="3253">
        <v>0</v>
      </c>
      <c r="L124" s="3254"/>
      <c r="M124" s="2955"/>
      <c r="N124" s="2955"/>
      <c r="O124" s="2955"/>
      <c r="P124" s="2955"/>
      <c r="Q124" s="2948"/>
      <c r="R124" s="2944"/>
      <c r="S124" s="2945"/>
      <c r="T124" s="2944"/>
      <c r="U124" s="2945"/>
      <c r="V124" s="2943">
        <v>0</v>
      </c>
      <c r="W124" s="2943">
        <v>0</v>
      </c>
      <c r="X124" s="1791"/>
      <c r="Y124" s="1790"/>
      <c r="Z124" s="1790"/>
    </row>
    <row r="125" spans="1:30" ht="36.75" customHeight="1" thickBot="1" x14ac:dyDescent="0.4">
      <c r="A125" s="3211" t="s">
        <v>973</v>
      </c>
      <c r="B125" s="3212"/>
      <c r="C125" s="3213"/>
      <c r="D125" s="3214" t="s">
        <v>736</v>
      </c>
      <c r="E125" s="3225"/>
      <c r="F125" s="3225"/>
      <c r="G125" s="3225"/>
      <c r="H125" s="3225"/>
      <c r="I125" s="3225"/>
      <c r="J125" s="3226"/>
      <c r="K125" s="3253">
        <f>814.8+77.2-312.8</f>
        <v>579.20000000000005</v>
      </c>
      <c r="L125" s="3254"/>
      <c r="M125" s="2955">
        <v>485.56200000000001</v>
      </c>
      <c r="N125" s="2955"/>
      <c r="O125" s="2955"/>
      <c r="P125" s="2955">
        <v>485.56200000000001</v>
      </c>
      <c r="Q125" s="2948">
        <v>485.56200000000001</v>
      </c>
      <c r="R125" s="3255"/>
      <c r="S125" s="3256"/>
      <c r="T125" s="3255"/>
      <c r="U125" s="3256"/>
      <c r="V125" s="2943">
        <f>857.3+34.7</f>
        <v>892</v>
      </c>
      <c r="W125" s="2943">
        <v>0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4">
      <c r="A126" s="3211" t="s">
        <v>972</v>
      </c>
      <c r="B126" s="3212"/>
      <c r="C126" s="3213"/>
      <c r="D126" s="3214" t="s">
        <v>889</v>
      </c>
      <c r="E126" s="3225"/>
      <c r="F126" s="3225"/>
      <c r="G126" s="3225"/>
      <c r="H126" s="3225"/>
      <c r="I126" s="3225"/>
      <c r="J126" s="3226"/>
      <c r="K126" s="3253">
        <f>7.1-0.06</f>
        <v>7.04</v>
      </c>
      <c r="L126" s="3254"/>
      <c r="M126" s="2955">
        <v>10</v>
      </c>
      <c r="N126" s="2955"/>
      <c r="O126" s="2955"/>
      <c r="P126" s="2955">
        <v>10</v>
      </c>
      <c r="Q126" s="2948">
        <v>10</v>
      </c>
      <c r="R126" s="3255">
        <v>598.5</v>
      </c>
      <c r="S126" s="3256"/>
      <c r="T126" s="3255">
        <v>598.5</v>
      </c>
      <c r="U126" s="3256"/>
      <c r="V126" s="2943">
        <v>7.1</v>
      </c>
      <c r="W126" s="2943">
        <v>7.1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4">
      <c r="A127" s="3211" t="s">
        <v>1098</v>
      </c>
      <c r="B127" s="3212"/>
      <c r="C127" s="3213"/>
      <c r="D127" s="3214" t="s">
        <v>1099</v>
      </c>
      <c r="E127" s="3225"/>
      <c r="F127" s="3225"/>
      <c r="G127" s="3225"/>
      <c r="H127" s="3225"/>
      <c r="I127" s="3225"/>
      <c r="J127" s="3226"/>
      <c r="K127" s="3253"/>
      <c r="L127" s="3254"/>
      <c r="M127" s="2955">
        <v>613</v>
      </c>
      <c r="N127" s="2955"/>
      <c r="O127" s="2955"/>
      <c r="P127" s="2955">
        <v>613</v>
      </c>
      <c r="Q127" s="2948">
        <v>613</v>
      </c>
      <c r="R127" s="3255"/>
      <c r="S127" s="3256"/>
      <c r="T127" s="3255"/>
      <c r="U127" s="3256"/>
      <c r="V127" s="2943"/>
      <c r="W127" s="2943"/>
      <c r="AB127" s="547">
        <v>122</v>
      </c>
    </row>
    <row r="128" spans="1:30" ht="33" hidden="1" customHeight="1" thickBot="1" x14ac:dyDescent="0.4">
      <c r="A128" s="3211" t="s">
        <v>1155</v>
      </c>
      <c r="B128" s="3212"/>
      <c r="C128" s="3213"/>
      <c r="D128" s="3214" t="s">
        <v>1156</v>
      </c>
      <c r="E128" s="3215"/>
      <c r="F128" s="3215"/>
      <c r="G128" s="3215"/>
      <c r="H128" s="3215"/>
      <c r="I128" s="3215"/>
      <c r="J128" s="3216"/>
      <c r="K128" s="3253"/>
      <c r="L128" s="3254"/>
      <c r="M128" s="2955"/>
      <c r="N128" s="2955"/>
      <c r="O128" s="2955"/>
      <c r="P128" s="2955"/>
      <c r="Q128" s="2948"/>
      <c r="R128" s="2944"/>
      <c r="S128" s="2945"/>
      <c r="T128" s="2944"/>
      <c r="U128" s="2945"/>
      <c r="V128" s="2943"/>
      <c r="W128" s="2943"/>
    </row>
    <row r="129" spans="1:32" ht="30.65" hidden="1" customHeight="1" thickBot="1" x14ac:dyDescent="0.4">
      <c r="A129" s="3211" t="s">
        <v>1122</v>
      </c>
      <c r="B129" s="3212"/>
      <c r="C129" s="3213"/>
      <c r="D129" s="3454" t="s">
        <v>1124</v>
      </c>
      <c r="E129" s="3108"/>
      <c r="F129" s="3108"/>
      <c r="G129" s="3108"/>
      <c r="H129" s="3108"/>
      <c r="I129" s="3108"/>
      <c r="J129" s="3109"/>
      <c r="K129" s="3253">
        <v>0</v>
      </c>
      <c r="L129" s="3254"/>
      <c r="M129" s="2955"/>
      <c r="N129" s="2955"/>
      <c r="O129" s="2955"/>
      <c r="P129" s="2955"/>
      <c r="Q129" s="2948"/>
      <c r="R129" s="3255"/>
      <c r="S129" s="3256"/>
      <c r="T129" s="3255"/>
      <c r="U129" s="3256"/>
      <c r="V129" s="2943">
        <v>0</v>
      </c>
      <c r="W129" s="2943">
        <v>0</v>
      </c>
    </row>
    <row r="130" spans="1:32" ht="34.5" hidden="1" customHeight="1" thickBot="1" x14ac:dyDescent="0.4">
      <c r="A130" s="3211" t="s">
        <v>1120</v>
      </c>
      <c r="B130" s="3212"/>
      <c r="C130" s="3213"/>
      <c r="D130" s="3257" t="s">
        <v>1121</v>
      </c>
      <c r="E130" s="3258"/>
      <c r="F130" s="3258"/>
      <c r="G130" s="3258"/>
      <c r="H130" s="3258"/>
      <c r="I130" s="3258"/>
      <c r="J130" s="3259"/>
      <c r="K130" s="3339">
        <v>0</v>
      </c>
      <c r="L130" s="3340"/>
      <c r="M130" s="2955">
        <v>965</v>
      </c>
      <c r="N130" s="2955">
        <v>20</v>
      </c>
      <c r="O130" s="2955">
        <v>20</v>
      </c>
      <c r="P130" s="2955">
        <f>M130+N130+O130</f>
        <v>1005</v>
      </c>
      <c r="Q130" s="2948">
        <v>1222.22</v>
      </c>
      <c r="R130" s="3364">
        <v>212</v>
      </c>
      <c r="S130" s="3365"/>
      <c r="T130" s="3364">
        <v>220</v>
      </c>
      <c r="U130" s="3365"/>
      <c r="V130" s="2950">
        <v>0</v>
      </c>
      <c r="W130" s="2950">
        <v>0</v>
      </c>
      <c r="AF130" s="2237"/>
    </row>
    <row r="131" spans="1:32" ht="12.75" customHeight="1" x14ac:dyDescent="0.35">
      <c r="A131" s="3089" t="s">
        <v>744</v>
      </c>
      <c r="B131" s="3090"/>
      <c r="C131" s="3091"/>
      <c r="D131" s="982"/>
      <c r="E131" s="983"/>
      <c r="F131" s="983"/>
      <c r="G131" s="983"/>
      <c r="H131" s="983"/>
      <c r="I131" s="983"/>
      <c r="J131" s="984"/>
      <c r="K131" s="3343">
        <f>K108+K38</f>
        <v>163672.34234</v>
      </c>
      <c r="L131" s="3344"/>
      <c r="M131" s="3370">
        <v>25719.42</v>
      </c>
      <c r="N131" s="3370"/>
      <c r="O131" s="3370"/>
      <c r="P131" s="3430">
        <f>P38+P108</f>
        <v>32956.455999999998</v>
      </c>
      <c r="Q131" s="3370"/>
      <c r="R131" s="3373">
        <f>R38+R108</f>
        <v>74385.700000000012</v>
      </c>
      <c r="S131" s="3374"/>
      <c r="T131" s="3373">
        <f>T38+T108</f>
        <v>76457.200000000012</v>
      </c>
      <c r="U131" s="3374"/>
      <c r="V131" s="3344">
        <f>V108+V38</f>
        <v>111893.72</v>
      </c>
      <c r="W131" s="3344">
        <f>W108+W38</f>
        <v>111980.82</v>
      </c>
    </row>
    <row r="132" spans="1:32" ht="16.5" customHeight="1" thickBot="1" x14ac:dyDescent="0.4">
      <c r="A132" s="3092"/>
      <c r="B132" s="3093"/>
      <c r="C132" s="3094"/>
      <c r="D132" s="979"/>
      <c r="E132" s="980"/>
      <c r="F132" s="980"/>
      <c r="G132" s="986"/>
      <c r="H132" s="986"/>
      <c r="I132" s="986"/>
      <c r="J132" s="987"/>
      <c r="K132" s="3345"/>
      <c r="L132" s="3346"/>
      <c r="M132" s="3460"/>
      <c r="N132" s="3460"/>
      <c r="O132" s="3460"/>
      <c r="P132" s="3459"/>
      <c r="Q132" s="3460"/>
      <c r="R132" s="3377"/>
      <c r="S132" s="3378"/>
      <c r="T132" s="3377"/>
      <c r="U132" s="3378"/>
      <c r="V132" s="3346"/>
      <c r="W132" s="3346"/>
    </row>
    <row r="133" spans="1:32" x14ac:dyDescent="0.35">
      <c r="K133" s="447"/>
      <c r="L133" s="447"/>
      <c r="N133" s="2235">
        <f>SUM(N38:N132)</f>
        <v>3863.518</v>
      </c>
      <c r="O133" s="2235">
        <f>SUM(O38:O132)</f>
        <v>3863.518</v>
      </c>
      <c r="P133" s="2235">
        <f>M131+N133+O133</f>
        <v>33446.455999999998</v>
      </c>
    </row>
    <row r="134" spans="1:32" x14ac:dyDescent="0.35">
      <c r="X134" s="1704">
        <v>356.3</v>
      </c>
      <c r="Y134" s="1704">
        <v>356.3</v>
      </c>
      <c r="Z134" s="1704">
        <v>356.3</v>
      </c>
    </row>
    <row r="135" spans="1:32" x14ac:dyDescent="0.35">
      <c r="X135" s="1704">
        <v>106.9</v>
      </c>
      <c r="Y135" s="1704">
        <v>88.4</v>
      </c>
      <c r="Z135" s="1704">
        <v>874.4</v>
      </c>
    </row>
    <row r="136" spans="1:32" x14ac:dyDescent="0.35">
      <c r="X136" s="1704">
        <v>-648.9</v>
      </c>
      <c r="Y136" s="1704">
        <v>-648.9</v>
      </c>
      <c r="Z136" s="1704">
        <v>-648.9</v>
      </c>
    </row>
    <row r="137" spans="1:32" x14ac:dyDescent="0.35"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35">
      <c r="V139" s="2247"/>
    </row>
  </sheetData>
  <mergeCells count="404">
    <mergeCell ref="V131:V132"/>
    <mergeCell ref="W131:W132"/>
    <mergeCell ref="A130:C130"/>
    <mergeCell ref="D130:J130"/>
    <mergeCell ref="K130:L130"/>
    <mergeCell ref="R130:S130"/>
    <mergeCell ref="T130:U130"/>
    <mergeCell ref="A131:C132"/>
    <mergeCell ref="K131:L132"/>
    <mergeCell ref="M131:M132"/>
    <mergeCell ref="N131:N132"/>
    <mergeCell ref="O131:O132"/>
    <mergeCell ref="A129:C129"/>
    <mergeCell ref="D129:J129"/>
    <mergeCell ref="K129:L129"/>
    <mergeCell ref="R129:S129"/>
    <mergeCell ref="T129:U129"/>
    <mergeCell ref="P131:P132"/>
    <mergeCell ref="Q131:Q132"/>
    <mergeCell ref="R131:S132"/>
    <mergeCell ref="T131:U132"/>
    <mergeCell ref="R125:S125"/>
    <mergeCell ref="T125:U125"/>
    <mergeCell ref="A126:C126"/>
    <mergeCell ref="D126:J126"/>
    <mergeCell ref="K126:L126"/>
    <mergeCell ref="R126:S126"/>
    <mergeCell ref="T126:U126"/>
    <mergeCell ref="A127:C127"/>
    <mergeCell ref="D127:J127"/>
    <mergeCell ref="K127:L127"/>
    <mergeCell ref="R127:S127"/>
    <mergeCell ref="T127:U127"/>
    <mergeCell ref="A114:C114"/>
    <mergeCell ref="D114:J114"/>
    <mergeCell ref="K114:L114"/>
    <mergeCell ref="R117:S117"/>
    <mergeCell ref="T117:U117"/>
    <mergeCell ref="A119:C119"/>
    <mergeCell ref="D119:J119"/>
    <mergeCell ref="K119:L119"/>
    <mergeCell ref="R119:S119"/>
    <mergeCell ref="T119:U119"/>
    <mergeCell ref="A118:C118"/>
    <mergeCell ref="D118:J118"/>
    <mergeCell ref="K118:L118"/>
    <mergeCell ref="A117:C117"/>
    <mergeCell ref="D117:J117"/>
    <mergeCell ref="K117:L117"/>
    <mergeCell ref="A115:C115"/>
    <mergeCell ref="D115:J115"/>
    <mergeCell ref="K115:L115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2:C112"/>
    <mergeCell ref="D112:J112"/>
    <mergeCell ref="K112:L112"/>
    <mergeCell ref="A113:C113"/>
    <mergeCell ref="D113:J113"/>
    <mergeCell ref="Q106:Q107"/>
    <mergeCell ref="R106:S107"/>
    <mergeCell ref="T106:U107"/>
    <mergeCell ref="V106:V107"/>
    <mergeCell ref="Q108:Q109"/>
    <mergeCell ref="R108:S110"/>
    <mergeCell ref="T108:U110"/>
    <mergeCell ref="V108:V110"/>
    <mergeCell ref="K113:L113"/>
    <mergeCell ref="W106:W107"/>
    <mergeCell ref="Q104:Q105"/>
    <mergeCell ref="R104:S105"/>
    <mergeCell ref="T104:U105"/>
    <mergeCell ref="V104:V105"/>
    <mergeCell ref="W104:W105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P106:P107"/>
    <mergeCell ref="P104:P10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D70:J73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K12:X12"/>
    <mergeCell ref="K13:X13"/>
    <mergeCell ref="K14:X14"/>
    <mergeCell ref="K15:X15"/>
    <mergeCell ref="K16:X16"/>
    <mergeCell ref="N35:N36"/>
    <mergeCell ref="O35:O36"/>
    <mergeCell ref="A36:C36"/>
    <mergeCell ref="A120:C120"/>
    <mergeCell ref="D120:J120"/>
    <mergeCell ref="K120:L120"/>
    <mergeCell ref="R120:S120"/>
    <mergeCell ref="T120:U120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D90:J90"/>
    <mergeCell ref="A123:C123"/>
    <mergeCell ref="D123:J123"/>
    <mergeCell ref="K123:L123"/>
    <mergeCell ref="A128:C128"/>
    <mergeCell ref="K128:L128"/>
    <mergeCell ref="D128:J128"/>
    <mergeCell ref="A124:C124"/>
    <mergeCell ref="D124:J124"/>
    <mergeCell ref="K124:L124"/>
    <mergeCell ref="A125:C125"/>
    <mergeCell ref="D125:J125"/>
    <mergeCell ref="K125:L125"/>
    <mergeCell ref="A121:C121"/>
    <mergeCell ref="A122:C122"/>
    <mergeCell ref="D121:J121"/>
    <mergeCell ref="D122:J122"/>
    <mergeCell ref="K121:L121"/>
    <mergeCell ref="K122:L122"/>
    <mergeCell ref="A106:C107"/>
    <mergeCell ref="K106:L107"/>
    <mergeCell ref="A116:C116"/>
    <mergeCell ref="D116:J116"/>
    <mergeCell ref="K116:L116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5" x14ac:dyDescent="0.3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5" x14ac:dyDescent="0.3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5" x14ac:dyDescent="0.3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5" x14ac:dyDescent="0.25">
      <c r="E5" s="388"/>
      <c r="F5" s="388"/>
      <c r="G5" s="388"/>
      <c r="H5" s="3027" t="s">
        <v>991</v>
      </c>
      <c r="I5" s="3027"/>
      <c r="J5" s="3027"/>
      <c r="K5" s="3027"/>
      <c r="L5" s="3027"/>
      <c r="M5" s="3027"/>
      <c r="N5" s="3027"/>
      <c r="O5" s="3027"/>
      <c r="P5" s="3027"/>
      <c r="Q5" s="3027"/>
      <c r="R5" s="3027"/>
      <c r="S5" s="3027"/>
      <c r="T5" s="3027"/>
      <c r="U5" s="3027"/>
      <c r="V5" s="258"/>
    </row>
    <row r="6" spans="1:22" ht="15.5" x14ac:dyDescent="0.3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5" hidden="1" x14ac:dyDescent="0.3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5" hidden="1" x14ac:dyDescent="0.3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488"/>
      <c r="C12" s="3488"/>
      <c r="D12" s="3488"/>
      <c r="E12" s="3488"/>
      <c r="F12" s="3488"/>
      <c r="G12" s="3488"/>
      <c r="H12" s="3488"/>
      <c r="I12" s="395" t="e">
        <f>I10-I11-#REF!</f>
        <v>#REF!</v>
      </c>
      <c r="N12" s="1"/>
      <c r="U12" s="1"/>
    </row>
    <row r="13" spans="1:22" ht="15.65" customHeight="1" x14ac:dyDescent="0.25">
      <c r="A13" s="3489" t="s">
        <v>614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  <c r="M13" s="3489"/>
      <c r="N13" s="3489"/>
      <c r="O13" s="3489"/>
      <c r="P13" s="3489"/>
      <c r="Q13" s="3489"/>
      <c r="R13" s="3489"/>
      <c r="S13" s="3489"/>
      <c r="T13" s="3489"/>
      <c r="U13" s="3489"/>
    </row>
    <row r="14" spans="1:22" ht="15.65" customHeight="1" x14ac:dyDescent="0.25">
      <c r="A14" s="3489" t="s">
        <v>613</v>
      </c>
      <c r="B14" s="3489"/>
      <c r="C14" s="3489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</row>
    <row r="15" spans="1:22" ht="15" customHeight="1" x14ac:dyDescent="0.25">
      <c r="A15" s="3489" t="s">
        <v>995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3489"/>
      <c r="N15" s="3489"/>
      <c r="O15" s="3489"/>
      <c r="P15" s="3489"/>
      <c r="Q15" s="3489"/>
      <c r="R15" s="3489"/>
      <c r="S15" s="3489"/>
      <c r="T15" s="3489"/>
      <c r="U15" s="3489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1724"/>
    </row>
    <row r="2" spans="8:23" hidden="1" x14ac:dyDescent="0.35">
      <c r="J2" s="541"/>
      <c r="L2" s="869" t="s">
        <v>450</v>
      </c>
      <c r="M2" s="1724"/>
      <c r="N2" s="1724"/>
    </row>
    <row r="3" spans="8:23" hidden="1" x14ac:dyDescent="0.3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idden="1" x14ac:dyDescent="0.35">
      <c r="I4" s="541"/>
      <c r="J4" s="541"/>
      <c r="L4" s="869" t="s">
        <v>448</v>
      </c>
      <c r="M4" s="1724"/>
      <c r="N4" s="1724"/>
      <c r="O4" s="1724"/>
    </row>
    <row r="5" spans="8:23" hidden="1" x14ac:dyDescent="0.35">
      <c r="I5" s="541"/>
      <c r="J5" s="541"/>
      <c r="L5" s="869" t="s">
        <v>448</v>
      </c>
      <c r="M5" s="1724"/>
      <c r="N5" s="1724"/>
      <c r="O5" s="1724"/>
    </row>
    <row r="6" spans="8:23" hidden="1" x14ac:dyDescent="0.35">
      <c r="J6" s="541"/>
      <c r="L6" s="876" t="s">
        <v>627</v>
      </c>
      <c r="M6" s="1725"/>
      <c r="N6" s="1725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3023" t="s">
        <v>625</v>
      </c>
      <c r="V12" s="3023"/>
      <c r="W12" s="3023"/>
    </row>
    <row r="13" spans="8:23" x14ac:dyDescent="0.35">
      <c r="Q13" s="877"/>
      <c r="U13" s="3023" t="s">
        <v>450</v>
      </c>
      <c r="V13" s="3023"/>
      <c r="W13" s="3023"/>
    </row>
    <row r="14" spans="8:23" x14ac:dyDescent="0.35">
      <c r="K14" s="3023" t="s">
        <v>449</v>
      </c>
      <c r="L14" s="3023"/>
      <c r="M14" s="3023"/>
      <c r="N14" s="3023"/>
      <c r="O14" s="3023"/>
      <c r="P14" s="3023"/>
      <c r="Q14" s="3023"/>
      <c r="R14" s="3023"/>
      <c r="S14" s="3023"/>
      <c r="T14" s="3023"/>
      <c r="U14" s="3023"/>
      <c r="V14" s="3023"/>
      <c r="W14" s="3023"/>
    </row>
    <row r="15" spans="8:23" x14ac:dyDescent="0.35">
      <c r="K15" s="3023" t="s">
        <v>448</v>
      </c>
      <c r="L15" s="3023"/>
      <c r="M15" s="3023"/>
      <c r="N15" s="3023"/>
      <c r="O15" s="3023"/>
      <c r="P15" s="3023"/>
      <c r="Q15" s="3023"/>
      <c r="R15" s="3023"/>
      <c r="S15" s="3023"/>
      <c r="T15" s="3023"/>
      <c r="U15" s="3023"/>
      <c r="V15" s="3023"/>
      <c r="W15" s="3023"/>
    </row>
    <row r="16" spans="8:23" x14ac:dyDescent="0.35">
      <c r="Q16" s="541"/>
      <c r="R16" s="387" t="s">
        <v>617</v>
      </c>
      <c r="U16" s="3027" t="s">
        <v>991</v>
      </c>
      <c r="V16" s="3027"/>
      <c r="W16" s="3027"/>
    </row>
    <row r="17" spans="1:23" x14ac:dyDescent="0.35">
      <c r="Q17" s="541"/>
      <c r="R17" s="1724"/>
      <c r="S17" s="1724"/>
      <c r="T17" s="1724"/>
      <c r="U17" s="1724"/>
    </row>
    <row r="18" spans="1:23" hidden="1" x14ac:dyDescent="0.35">
      <c r="L18" s="1724" t="s">
        <v>446</v>
      </c>
      <c r="Q18" s="541"/>
      <c r="R18" s="1724"/>
      <c r="S18" s="1724"/>
      <c r="T18" s="1724"/>
    </row>
    <row r="19" spans="1:23" hidden="1" x14ac:dyDescent="0.35">
      <c r="L19" s="541"/>
      <c r="Q19" s="541"/>
      <c r="R19" s="1724"/>
      <c r="S19" s="1724"/>
      <c r="T19" s="1724"/>
      <c r="U19" s="1724"/>
    </row>
    <row r="20" spans="1:23" hidden="1" x14ac:dyDescent="0.35">
      <c r="L20" s="1724" t="s">
        <v>842</v>
      </c>
      <c r="Q20" s="541"/>
      <c r="R20" s="1724"/>
      <c r="S20" s="1724"/>
      <c r="T20" s="1724"/>
    </row>
    <row r="21" spans="1:23" x14ac:dyDescent="0.35">
      <c r="J21" s="1724"/>
      <c r="K21" s="869"/>
      <c r="L21" s="1724"/>
    </row>
    <row r="22" spans="1:23" x14ac:dyDescent="0.35">
      <c r="J22" s="1724"/>
      <c r="K22" s="869"/>
      <c r="L22" s="869"/>
    </row>
    <row r="23" spans="1:23" hidden="1" x14ac:dyDescent="0.35"/>
    <row r="24" spans="1:23" ht="19.5" customHeight="1" x14ac:dyDescent="0.35">
      <c r="A24" s="3024" t="s">
        <v>629</v>
      </c>
      <c r="B24" s="3024"/>
      <c r="C24" s="3024"/>
      <c r="D24" s="3024"/>
      <c r="E24" s="3024"/>
      <c r="F24" s="3024"/>
      <c r="G24" s="3024"/>
      <c r="H24" s="3024"/>
      <c r="I24" s="3024"/>
      <c r="J24" s="3024"/>
      <c r="K24" s="3024"/>
      <c r="L24" s="3024"/>
      <c r="M24" s="3024"/>
      <c r="N24" s="3024"/>
      <c r="O24" s="3024"/>
      <c r="P24" s="3024"/>
      <c r="Q24" s="3024"/>
      <c r="R24" s="3024"/>
      <c r="S24" s="3024"/>
      <c r="T24" s="3024"/>
      <c r="U24" s="3024"/>
      <c r="V24" s="3024"/>
      <c r="W24" s="3024"/>
    </row>
    <row r="25" spans="1:23" ht="17.5" x14ac:dyDescent="0.35">
      <c r="A25" s="3024" t="s">
        <v>630</v>
      </c>
      <c r="B25" s="3024"/>
      <c r="C25" s="3024"/>
      <c r="D25" s="3024"/>
      <c r="E25" s="3024"/>
      <c r="F25" s="3024"/>
      <c r="G25" s="3024"/>
      <c r="H25" s="3024"/>
      <c r="I25" s="3024"/>
      <c r="J25" s="3024"/>
      <c r="K25" s="3024"/>
      <c r="L25" s="3024"/>
      <c r="M25" s="3024"/>
      <c r="N25" s="3024"/>
      <c r="O25" s="3024"/>
      <c r="P25" s="3024"/>
      <c r="Q25" s="3024"/>
      <c r="R25" s="3024"/>
      <c r="S25" s="3024"/>
      <c r="T25" s="3024"/>
      <c r="U25" s="3024"/>
      <c r="V25" s="3024"/>
      <c r="W25" s="3024"/>
    </row>
    <row r="26" spans="1:23" ht="17.5" hidden="1" x14ac:dyDescent="0.35">
      <c r="A26" s="3024"/>
      <c r="B26" s="3024"/>
      <c r="C26" s="3024"/>
      <c r="D26" s="3024"/>
      <c r="E26" s="3024"/>
      <c r="F26" s="3024"/>
      <c r="G26" s="3024"/>
      <c r="H26" s="3024"/>
      <c r="I26" s="3024"/>
      <c r="J26" s="3024"/>
      <c r="K26" s="3024"/>
      <c r="L26" s="3024"/>
    </row>
    <row r="27" spans="1:23" ht="17.5" x14ac:dyDescent="0.35">
      <c r="A27" s="3024" t="s">
        <v>992</v>
      </c>
      <c r="B27" s="3024"/>
      <c r="C27" s="3024"/>
      <c r="D27" s="3024"/>
      <c r="E27" s="3024"/>
      <c r="F27" s="3024"/>
      <c r="G27" s="3024"/>
      <c r="H27" s="3024"/>
      <c r="I27" s="3024"/>
      <c r="J27" s="3024"/>
      <c r="K27" s="3024"/>
      <c r="L27" s="3024"/>
      <c r="M27" s="3024"/>
      <c r="N27" s="3024"/>
      <c r="O27" s="3024"/>
      <c r="P27" s="3024"/>
      <c r="Q27" s="3024"/>
      <c r="R27" s="3024"/>
      <c r="S27" s="3024"/>
      <c r="T27" s="3024"/>
      <c r="U27" s="3024"/>
      <c r="V27" s="3024"/>
      <c r="W27" s="3024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25"/>
      <c r="L28" s="3025"/>
      <c r="R28" s="3026"/>
      <c r="S28" s="3026"/>
      <c r="T28" s="3026" t="s">
        <v>631</v>
      </c>
      <c r="U28" s="3026"/>
      <c r="W28" s="541" t="s">
        <v>631</v>
      </c>
    </row>
    <row r="29" spans="1:23" x14ac:dyDescent="0.35">
      <c r="A29" s="3038" t="s">
        <v>632</v>
      </c>
      <c r="B29" s="3039"/>
      <c r="C29" s="3040"/>
      <c r="D29" s="3041" t="s">
        <v>633</v>
      </c>
      <c r="E29" s="3042"/>
      <c r="F29" s="3042"/>
      <c r="G29" s="3042"/>
      <c r="H29" s="3042"/>
      <c r="I29" s="3042"/>
      <c r="J29" s="3043"/>
      <c r="K29" s="3041" t="s">
        <v>843</v>
      </c>
      <c r="L29" s="3043"/>
      <c r="M29" s="3047" t="s">
        <v>635</v>
      </c>
      <c r="N29" s="3049" t="s">
        <v>636</v>
      </c>
      <c r="O29" s="3049" t="s">
        <v>637</v>
      </c>
      <c r="P29" s="3047" t="s">
        <v>638</v>
      </c>
      <c r="Q29" s="3068" t="s">
        <v>639</v>
      </c>
      <c r="R29" s="3028" t="s">
        <v>634</v>
      </c>
      <c r="S29" s="3029"/>
      <c r="T29" s="3028" t="s">
        <v>640</v>
      </c>
      <c r="U29" s="3029"/>
      <c r="V29" s="3043" t="s">
        <v>894</v>
      </c>
      <c r="W29" s="3043" t="s">
        <v>993</v>
      </c>
    </row>
    <row r="30" spans="1:23" ht="16" thickBot="1" x14ac:dyDescent="0.4">
      <c r="A30" s="3032" t="s">
        <v>641</v>
      </c>
      <c r="B30" s="3025"/>
      <c r="C30" s="3033"/>
      <c r="D30" s="3044"/>
      <c r="E30" s="3045"/>
      <c r="F30" s="3045"/>
      <c r="G30" s="3045"/>
      <c r="H30" s="3045"/>
      <c r="I30" s="3045"/>
      <c r="J30" s="3046"/>
      <c r="K30" s="3044"/>
      <c r="L30" s="3046"/>
      <c r="M30" s="3048"/>
      <c r="N30" s="3050"/>
      <c r="O30" s="3050"/>
      <c r="P30" s="3048"/>
      <c r="Q30" s="3069"/>
      <c r="R30" s="3030"/>
      <c r="S30" s="3031"/>
      <c r="T30" s="3030"/>
      <c r="U30" s="3031"/>
      <c r="V30" s="3046"/>
      <c r="W30" s="3046"/>
    </row>
    <row r="31" spans="1:23" ht="16" thickBot="1" x14ac:dyDescent="0.4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034">
        <v>3</v>
      </c>
      <c r="L31" s="3035"/>
      <c r="M31" s="1735"/>
      <c r="N31" s="1735"/>
      <c r="O31" s="1735"/>
      <c r="P31" s="1735"/>
      <c r="Q31" s="879"/>
      <c r="R31" s="3036">
        <v>3</v>
      </c>
      <c r="S31" s="3037"/>
      <c r="T31" s="3036">
        <v>3</v>
      </c>
      <c r="U31" s="3037"/>
      <c r="V31" s="1726">
        <v>4</v>
      </c>
      <c r="W31" s="1726">
        <v>5</v>
      </c>
    </row>
    <row r="32" spans="1:23" ht="15.65" customHeight="1" x14ac:dyDescent="0.25">
      <c r="A32" s="3051" t="s">
        <v>642</v>
      </c>
      <c r="B32" s="3052"/>
      <c r="C32" s="3053"/>
      <c r="D32" s="3057" t="s">
        <v>643</v>
      </c>
      <c r="E32" s="3058"/>
      <c r="F32" s="3058"/>
      <c r="G32" s="3058"/>
      <c r="H32" s="3058"/>
      <c r="I32" s="3058"/>
      <c r="J32" s="3059"/>
      <c r="K32" s="3063">
        <f>K34+K38+K41+K45+K51+K57+K76+K82+K94+K98</f>
        <v>76122.440999999992</v>
      </c>
      <c r="L32" s="3064"/>
      <c r="M32" s="3067">
        <v>17235.358</v>
      </c>
      <c r="N32" s="3067"/>
      <c r="O32" s="3067"/>
      <c r="P32" s="3067">
        <f>P34+P45+P51+P57+P76+P82+P98</f>
        <v>24582.394</v>
      </c>
      <c r="Q32" s="3067">
        <v>20829</v>
      </c>
      <c r="R32" s="3070">
        <f>R34+R45+R51+R57+R76+R82+R98+R41+R38+R94</f>
        <v>73596.200000000012</v>
      </c>
      <c r="S32" s="3071"/>
      <c r="T32" s="3070">
        <f>T34+T45+T51+T57+T76+T82+T98+T41+T38+T94</f>
        <v>75660.700000000012</v>
      </c>
      <c r="U32" s="3071"/>
      <c r="V32" s="3064">
        <f>V34+V38+V41+V45+V51+V57+V76+V82+V94+V98</f>
        <v>77856.865000000005</v>
      </c>
      <c r="W32" s="3064">
        <f>W34+W38+W41+W45+W51+W57+W76+W82+W94+W98</f>
        <v>79559.585999999996</v>
      </c>
    </row>
    <row r="33" spans="1:23" ht="13.9" customHeight="1" thickBot="1" x14ac:dyDescent="0.3">
      <c r="A33" s="3054"/>
      <c r="B33" s="3055"/>
      <c r="C33" s="3056"/>
      <c r="D33" s="3060"/>
      <c r="E33" s="3061"/>
      <c r="F33" s="3061"/>
      <c r="G33" s="3061"/>
      <c r="H33" s="3061"/>
      <c r="I33" s="3061"/>
      <c r="J33" s="3062"/>
      <c r="K33" s="3065"/>
      <c r="L33" s="3066"/>
      <c r="M33" s="3067"/>
      <c r="N33" s="3067"/>
      <c r="O33" s="3067"/>
      <c r="P33" s="3067"/>
      <c r="Q33" s="3067"/>
      <c r="R33" s="3072"/>
      <c r="S33" s="3073"/>
      <c r="T33" s="3072"/>
      <c r="U33" s="3073"/>
      <c r="V33" s="3066"/>
      <c r="W33" s="3066"/>
    </row>
    <row r="34" spans="1:23" ht="15" x14ac:dyDescent="0.3">
      <c r="A34" s="976" t="s">
        <v>644</v>
      </c>
      <c r="B34" s="977"/>
      <c r="C34" s="978"/>
      <c r="D34" s="3057" t="s">
        <v>645</v>
      </c>
      <c r="E34" s="3058"/>
      <c r="F34" s="3058"/>
      <c r="G34" s="3058"/>
      <c r="H34" s="3058"/>
      <c r="I34" s="3058"/>
      <c r="J34" s="3059"/>
      <c r="K34" s="3063">
        <f>K36</f>
        <v>35367.445</v>
      </c>
      <c r="L34" s="3064"/>
      <c r="M34" s="3067">
        <v>4523.7</v>
      </c>
      <c r="N34" s="3067"/>
      <c r="O34" s="3067"/>
      <c r="P34" s="3067">
        <f>P36</f>
        <v>5592.7</v>
      </c>
      <c r="Q34" s="3074">
        <v>4938.4639999999999</v>
      </c>
      <c r="R34" s="3070">
        <f>R36</f>
        <v>25200</v>
      </c>
      <c r="S34" s="3071"/>
      <c r="T34" s="3070">
        <f>T36</f>
        <v>26208</v>
      </c>
      <c r="U34" s="3071"/>
      <c r="V34" s="3064">
        <f>V36</f>
        <v>36782.142999999996</v>
      </c>
      <c r="W34" s="3064">
        <f>W36</f>
        <v>38253.428</v>
      </c>
    </row>
    <row r="35" spans="1:23" thickBot="1" x14ac:dyDescent="0.35">
      <c r="A35" s="979" t="s">
        <v>646</v>
      </c>
      <c r="B35" s="980"/>
      <c r="C35" s="981"/>
      <c r="D35" s="3060"/>
      <c r="E35" s="3061"/>
      <c r="F35" s="3061"/>
      <c r="G35" s="3061"/>
      <c r="H35" s="3061"/>
      <c r="I35" s="3061"/>
      <c r="J35" s="3062"/>
      <c r="K35" s="3065"/>
      <c r="L35" s="3066"/>
      <c r="M35" s="3067"/>
      <c r="N35" s="3067"/>
      <c r="O35" s="3067"/>
      <c r="P35" s="3067"/>
      <c r="Q35" s="3074"/>
      <c r="R35" s="3072"/>
      <c r="S35" s="3073"/>
      <c r="T35" s="3072"/>
      <c r="U35" s="3073"/>
      <c r="V35" s="3066"/>
      <c r="W35" s="3066"/>
    </row>
    <row r="36" spans="1:23" x14ac:dyDescent="0.35">
      <c r="A36" s="3038" t="s">
        <v>647</v>
      </c>
      <c r="B36" s="3039"/>
      <c r="C36" s="3040"/>
      <c r="D36" s="982"/>
      <c r="E36" s="983"/>
      <c r="F36" s="983"/>
      <c r="G36" s="983"/>
      <c r="H36" s="983"/>
      <c r="I36" s="983"/>
      <c r="J36" s="984"/>
      <c r="K36" s="3102">
        <v>35367.445</v>
      </c>
      <c r="L36" s="3103"/>
      <c r="M36" s="3067">
        <v>4523.7</v>
      </c>
      <c r="N36" s="3067">
        <v>534.5</v>
      </c>
      <c r="O36" s="3067">
        <v>534.5</v>
      </c>
      <c r="P36" s="3067">
        <f>M36+N36+O36</f>
        <v>5592.7</v>
      </c>
      <c r="Q36" s="3074">
        <v>4938.4639999999999</v>
      </c>
      <c r="R36" s="3085">
        <v>25200</v>
      </c>
      <c r="S36" s="3086"/>
      <c r="T36" s="3085">
        <v>26208</v>
      </c>
      <c r="U36" s="3086"/>
      <c r="V36" s="3103">
        <v>36782.142999999996</v>
      </c>
      <c r="W36" s="3103">
        <v>38253.428</v>
      </c>
    </row>
    <row r="37" spans="1:23" ht="16" thickBot="1" x14ac:dyDescent="0.4">
      <c r="A37" s="3032"/>
      <c r="B37" s="3025"/>
      <c r="C37" s="3033"/>
      <c r="D37" s="985" t="s">
        <v>648</v>
      </c>
      <c r="E37" s="986"/>
      <c r="F37" s="986"/>
      <c r="G37" s="986"/>
      <c r="H37" s="986"/>
      <c r="I37" s="986"/>
      <c r="J37" s="987"/>
      <c r="K37" s="3104"/>
      <c r="L37" s="3105"/>
      <c r="M37" s="3067"/>
      <c r="N37" s="3067"/>
      <c r="O37" s="3067"/>
      <c r="P37" s="3067"/>
      <c r="Q37" s="3074"/>
      <c r="R37" s="3087"/>
      <c r="S37" s="3088"/>
      <c r="T37" s="3087"/>
      <c r="U37" s="3088"/>
      <c r="V37" s="3105"/>
      <c r="W37" s="3105"/>
    </row>
    <row r="38" spans="1:23" ht="15.65" customHeight="1" x14ac:dyDescent="0.25">
      <c r="A38" s="3089" t="s">
        <v>649</v>
      </c>
      <c r="B38" s="3090"/>
      <c r="C38" s="3091"/>
      <c r="D38" s="3095" t="s">
        <v>650</v>
      </c>
      <c r="E38" s="3096"/>
      <c r="F38" s="3096"/>
      <c r="G38" s="3096"/>
      <c r="H38" s="3096"/>
      <c r="I38" s="3096"/>
      <c r="J38" s="3097"/>
      <c r="K38" s="3063">
        <f>K40</f>
        <v>948.322</v>
      </c>
      <c r="L38" s="3064"/>
      <c r="M38" s="3067">
        <v>9794</v>
      </c>
      <c r="N38" s="3067"/>
      <c r="O38" s="3067"/>
      <c r="P38" s="3067" t="e">
        <f>#REF!+P41+P42</f>
        <v>#REF!</v>
      </c>
      <c r="Q38" s="3101">
        <v>12087.288329999999</v>
      </c>
      <c r="R38" s="3070">
        <f>R40</f>
        <v>0</v>
      </c>
      <c r="S38" s="3071"/>
      <c r="T38" s="3070">
        <f>T40</f>
        <v>0</v>
      </c>
      <c r="U38" s="3071"/>
      <c r="V38" s="3064">
        <f>V40</f>
        <v>948.322</v>
      </c>
      <c r="W38" s="3064"/>
    </row>
    <row r="39" spans="1:23" ht="16.149999999999999" customHeight="1" thickBot="1" x14ac:dyDescent="0.3">
      <c r="A39" s="3092"/>
      <c r="B39" s="3093"/>
      <c r="C39" s="3094"/>
      <c r="D39" s="3098"/>
      <c r="E39" s="3099"/>
      <c r="F39" s="3099"/>
      <c r="G39" s="3099"/>
      <c r="H39" s="3099"/>
      <c r="I39" s="3099"/>
      <c r="J39" s="3100"/>
      <c r="K39" s="3065"/>
      <c r="L39" s="3066"/>
      <c r="M39" s="3067"/>
      <c r="N39" s="3067"/>
      <c r="O39" s="3067"/>
      <c r="P39" s="3067"/>
      <c r="Q39" s="3101"/>
      <c r="R39" s="3072"/>
      <c r="S39" s="3073"/>
      <c r="T39" s="3072"/>
      <c r="U39" s="3073"/>
      <c r="V39" s="3066"/>
      <c r="W39" s="3066"/>
    </row>
    <row r="40" spans="1:23" ht="31.15" customHeight="1" thickBot="1" x14ac:dyDescent="0.4">
      <c r="A40" s="3075" t="s">
        <v>651</v>
      </c>
      <c r="B40" s="3076"/>
      <c r="C40" s="3077"/>
      <c r="D40" s="3078" t="s">
        <v>652</v>
      </c>
      <c r="E40" s="3079"/>
      <c r="F40" s="3079"/>
      <c r="G40" s="3079"/>
      <c r="H40" s="3079"/>
      <c r="I40" s="3079"/>
      <c r="J40" s="3080"/>
      <c r="K40" s="3081">
        <v>948.322</v>
      </c>
      <c r="L40" s="3082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083"/>
      <c r="S40" s="3084"/>
      <c r="T40" s="3083"/>
      <c r="U40" s="3084"/>
      <c r="V40" s="1731">
        <v>948.322</v>
      </c>
      <c r="W40" s="1731"/>
    </row>
    <row r="41" spans="1:23" ht="15.65" customHeight="1" x14ac:dyDescent="0.25">
      <c r="A41" s="3089" t="s">
        <v>653</v>
      </c>
      <c r="B41" s="3090"/>
      <c r="C41" s="3091"/>
      <c r="D41" s="3110" t="s">
        <v>654</v>
      </c>
      <c r="E41" s="3111"/>
      <c r="F41" s="3111"/>
      <c r="G41" s="3111"/>
      <c r="H41" s="3111"/>
      <c r="I41" s="3111"/>
      <c r="J41" s="3112"/>
      <c r="K41" s="3063">
        <f>K44</f>
        <v>509</v>
      </c>
      <c r="L41" s="3064"/>
      <c r="M41" s="3067">
        <v>9794</v>
      </c>
      <c r="N41" s="3067"/>
      <c r="O41" s="3067"/>
      <c r="P41" s="3067">
        <f>P44+P45+P46</f>
        <v>15318</v>
      </c>
      <c r="Q41" s="3101">
        <v>12087.288329999999</v>
      </c>
      <c r="R41" s="3070">
        <f>R44</f>
        <v>75.8</v>
      </c>
      <c r="S41" s="3071"/>
      <c r="T41" s="3070">
        <f>T44</f>
        <v>80</v>
      </c>
      <c r="U41" s="3071"/>
      <c r="V41" s="3064">
        <f>V44</f>
        <v>529.36</v>
      </c>
      <c r="W41" s="3064">
        <f>W44</f>
        <v>563.81600000000003</v>
      </c>
    </row>
    <row r="42" spans="1:23" ht="16.149999999999999" customHeight="1" thickBot="1" x14ac:dyDescent="0.3">
      <c r="A42" s="3092"/>
      <c r="B42" s="3093"/>
      <c r="C42" s="3094"/>
      <c r="D42" s="3113"/>
      <c r="E42" s="3114"/>
      <c r="F42" s="3114"/>
      <c r="G42" s="3114"/>
      <c r="H42" s="3114"/>
      <c r="I42" s="3114"/>
      <c r="J42" s="3115"/>
      <c r="K42" s="3065"/>
      <c r="L42" s="3066"/>
      <c r="M42" s="3067"/>
      <c r="N42" s="3067"/>
      <c r="O42" s="3067"/>
      <c r="P42" s="3067"/>
      <c r="Q42" s="3101"/>
      <c r="R42" s="3072"/>
      <c r="S42" s="3073"/>
      <c r="T42" s="3072"/>
      <c r="U42" s="3073"/>
      <c r="V42" s="3066"/>
      <c r="W42" s="3066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 x14ac:dyDescent="0.4">
      <c r="A44" s="3034" t="s">
        <v>655</v>
      </c>
      <c r="B44" s="3106"/>
      <c r="C44" s="3035"/>
      <c r="D44" s="3107" t="s">
        <v>656</v>
      </c>
      <c r="E44" s="3108"/>
      <c r="F44" s="3108"/>
      <c r="G44" s="3108"/>
      <c r="H44" s="3108"/>
      <c r="I44" s="3108"/>
      <c r="J44" s="3109"/>
      <c r="K44" s="3081">
        <v>509</v>
      </c>
      <c r="L44" s="3082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083">
        <v>75.8</v>
      </c>
      <c r="S44" s="3084"/>
      <c r="T44" s="3083">
        <v>80</v>
      </c>
      <c r="U44" s="3084"/>
      <c r="V44" s="1731">
        <v>529.36</v>
      </c>
      <c r="W44" s="1731">
        <v>563.81600000000003</v>
      </c>
    </row>
    <row r="45" spans="1:23" ht="15.65" customHeight="1" x14ac:dyDescent="0.25">
      <c r="A45" s="3089" t="s">
        <v>657</v>
      </c>
      <c r="B45" s="3090"/>
      <c r="C45" s="3091"/>
      <c r="D45" s="3110" t="s">
        <v>658</v>
      </c>
      <c r="E45" s="3111"/>
      <c r="F45" s="3111"/>
      <c r="G45" s="3111"/>
      <c r="H45" s="3111"/>
      <c r="I45" s="3111"/>
      <c r="J45" s="3112"/>
      <c r="K45" s="3063">
        <f>K48+K50+K49</f>
        <v>36986.9</v>
      </c>
      <c r="L45" s="3064"/>
      <c r="M45" s="3067">
        <v>9794</v>
      </c>
      <c r="N45" s="3067"/>
      <c r="O45" s="3067"/>
      <c r="P45" s="3067">
        <f>P48+P49+P50</f>
        <v>15194</v>
      </c>
      <c r="Q45" s="3101">
        <v>12087.288329999999</v>
      </c>
      <c r="R45" s="3070">
        <f>R48+R50+R49</f>
        <v>44797.8</v>
      </c>
      <c r="S45" s="3071"/>
      <c r="T45" s="3070">
        <f>T48+T50+T49</f>
        <v>46588.6</v>
      </c>
      <c r="U45" s="3071"/>
      <c r="V45" s="3064">
        <f>V48+V50</f>
        <v>37760.94</v>
      </c>
      <c r="W45" s="3064">
        <f>W48+W50</f>
        <v>38867.346000000005</v>
      </c>
    </row>
    <row r="46" spans="1:23" ht="16.149999999999999" customHeight="1" thickBot="1" x14ac:dyDescent="0.3">
      <c r="A46" s="3092"/>
      <c r="B46" s="3093"/>
      <c r="C46" s="3094"/>
      <c r="D46" s="3113"/>
      <c r="E46" s="3114"/>
      <c r="F46" s="3114"/>
      <c r="G46" s="3114"/>
      <c r="H46" s="3114"/>
      <c r="I46" s="3114"/>
      <c r="J46" s="3115"/>
      <c r="K46" s="3065"/>
      <c r="L46" s="3066"/>
      <c r="M46" s="3067"/>
      <c r="N46" s="3067"/>
      <c r="O46" s="3067"/>
      <c r="P46" s="3067"/>
      <c r="Q46" s="3101"/>
      <c r="R46" s="3072"/>
      <c r="S46" s="3073"/>
      <c r="T46" s="3072"/>
      <c r="U46" s="3073"/>
      <c r="V46" s="3066"/>
      <c r="W46" s="3066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 x14ac:dyDescent="0.4">
      <c r="A48" s="3034" t="s">
        <v>659</v>
      </c>
      <c r="B48" s="3106"/>
      <c r="C48" s="3035"/>
      <c r="D48" s="972" t="s">
        <v>660</v>
      </c>
      <c r="E48" s="975"/>
      <c r="F48" s="975"/>
      <c r="G48" s="975"/>
      <c r="H48" s="975"/>
      <c r="I48" s="975"/>
      <c r="J48" s="974"/>
      <c r="K48" s="3081">
        <v>5166</v>
      </c>
      <c r="L48" s="3082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083">
        <v>3816</v>
      </c>
      <c r="S48" s="3084"/>
      <c r="T48" s="3083">
        <v>3968.6</v>
      </c>
      <c r="U48" s="3084"/>
      <c r="V48" s="1731">
        <v>5372.64</v>
      </c>
      <c r="W48" s="1731">
        <v>5587.5460000000003</v>
      </c>
    </row>
    <row r="49" spans="1:23" ht="15.65" hidden="1" customHeight="1" thickBot="1" x14ac:dyDescent="0.4">
      <c r="A49" s="3034" t="s">
        <v>661</v>
      </c>
      <c r="B49" s="3106"/>
      <c r="C49" s="3035"/>
      <c r="D49" s="996" t="s">
        <v>662</v>
      </c>
      <c r="E49" s="997"/>
      <c r="F49" s="997"/>
      <c r="G49" s="997"/>
      <c r="H49" s="997"/>
      <c r="I49" s="997"/>
      <c r="J49" s="998"/>
      <c r="K49" s="3081"/>
      <c r="L49" s="3082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083">
        <v>9783.7999999999993</v>
      </c>
      <c r="S49" s="3084"/>
      <c r="T49" s="3083">
        <v>10175</v>
      </c>
      <c r="U49" s="3084"/>
      <c r="V49" s="1731"/>
      <c r="W49" s="1731"/>
    </row>
    <row r="50" spans="1:23" ht="16" thickBot="1" x14ac:dyDescent="0.4">
      <c r="A50" s="3034" t="s">
        <v>663</v>
      </c>
      <c r="B50" s="3106"/>
      <c r="C50" s="3035"/>
      <c r="D50" s="972" t="s">
        <v>664</v>
      </c>
      <c r="E50" s="975"/>
      <c r="F50" s="975"/>
      <c r="G50" s="975"/>
      <c r="H50" s="975"/>
      <c r="I50" s="975"/>
      <c r="J50" s="974"/>
      <c r="K50" s="3081">
        <v>31820.9</v>
      </c>
      <c r="L50" s="3082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083">
        <v>31198</v>
      </c>
      <c r="S50" s="3084"/>
      <c r="T50" s="3083">
        <v>32445</v>
      </c>
      <c r="U50" s="3084"/>
      <c r="V50" s="1731">
        <v>32388.3</v>
      </c>
      <c r="W50" s="1731">
        <v>33279.800000000003</v>
      </c>
    </row>
    <row r="51" spans="1:23" ht="15.65" customHeight="1" x14ac:dyDescent="0.25">
      <c r="A51" s="3089" t="s">
        <v>665</v>
      </c>
      <c r="B51" s="3090"/>
      <c r="C51" s="3091"/>
      <c r="D51" s="3110" t="s">
        <v>666</v>
      </c>
      <c r="E51" s="3111"/>
      <c r="F51" s="3111"/>
      <c r="G51" s="3111"/>
      <c r="H51" s="3111"/>
      <c r="I51" s="3111"/>
      <c r="J51" s="3112"/>
      <c r="K51" s="3063">
        <f>K53</f>
        <v>5</v>
      </c>
      <c r="L51" s="3064"/>
      <c r="M51" s="3067">
        <v>17</v>
      </c>
      <c r="N51" s="3067"/>
      <c r="O51" s="3067"/>
      <c r="P51" s="3067">
        <f>M51+N51+O51</f>
        <v>17</v>
      </c>
      <c r="Q51" s="3067">
        <v>3.9649999999999999</v>
      </c>
      <c r="R51" s="3070">
        <f>R53</f>
        <v>8</v>
      </c>
      <c r="S51" s="3071"/>
      <c r="T51" s="3070">
        <f>T53</f>
        <v>10</v>
      </c>
      <c r="U51" s="3071"/>
      <c r="V51" s="3064">
        <v>5</v>
      </c>
      <c r="W51" s="3064">
        <v>5</v>
      </c>
    </row>
    <row r="52" spans="1:23" ht="13.9" customHeight="1" thickBot="1" x14ac:dyDescent="0.3">
      <c r="A52" s="3092"/>
      <c r="B52" s="3093"/>
      <c r="C52" s="3094"/>
      <c r="D52" s="3113"/>
      <c r="E52" s="3114"/>
      <c r="F52" s="3114"/>
      <c r="G52" s="3114"/>
      <c r="H52" s="3114"/>
      <c r="I52" s="3114"/>
      <c r="J52" s="3115"/>
      <c r="K52" s="3065"/>
      <c r="L52" s="3066"/>
      <c r="M52" s="3067"/>
      <c r="N52" s="3067"/>
      <c r="O52" s="3067"/>
      <c r="P52" s="3067"/>
      <c r="Q52" s="3067"/>
      <c r="R52" s="3072"/>
      <c r="S52" s="3073"/>
      <c r="T52" s="3072"/>
      <c r="U52" s="3073"/>
      <c r="V52" s="3066"/>
      <c r="W52" s="3066"/>
    </row>
    <row r="53" spans="1:23" x14ac:dyDescent="0.35">
      <c r="A53" s="3041" t="s">
        <v>667</v>
      </c>
      <c r="B53" s="3042"/>
      <c r="C53" s="3043"/>
      <c r="D53" s="982" t="s">
        <v>668</v>
      </c>
      <c r="E53" s="983"/>
      <c r="F53" s="983"/>
      <c r="G53" s="983"/>
      <c r="H53" s="983"/>
      <c r="I53" s="983"/>
      <c r="J53" s="983"/>
      <c r="K53" s="3102">
        <v>5</v>
      </c>
      <c r="L53" s="3103"/>
      <c r="M53" s="3067">
        <v>17</v>
      </c>
      <c r="N53" s="3067"/>
      <c r="O53" s="3067"/>
      <c r="P53" s="3067">
        <f>M53+N53+O53</f>
        <v>17</v>
      </c>
      <c r="Q53" s="3067">
        <v>3.9649999999999999</v>
      </c>
      <c r="R53" s="3085">
        <v>8</v>
      </c>
      <c r="S53" s="3086"/>
      <c r="T53" s="3085">
        <v>10</v>
      </c>
      <c r="U53" s="3086"/>
      <c r="V53" s="3103">
        <v>5</v>
      </c>
      <c r="W53" s="3103">
        <v>5</v>
      </c>
    </row>
    <row r="54" spans="1:23" x14ac:dyDescent="0.35">
      <c r="A54" s="3120"/>
      <c r="B54" s="3121"/>
      <c r="C54" s="3122"/>
      <c r="D54" s="996" t="s">
        <v>669</v>
      </c>
      <c r="E54" s="997"/>
      <c r="F54" s="997"/>
      <c r="G54" s="997"/>
      <c r="H54" s="997"/>
      <c r="I54" s="997"/>
      <c r="J54" s="997"/>
      <c r="K54" s="3123"/>
      <c r="L54" s="3124"/>
      <c r="M54" s="3067"/>
      <c r="N54" s="3067"/>
      <c r="O54" s="3067"/>
      <c r="P54" s="3067"/>
      <c r="Q54" s="3067"/>
      <c r="R54" s="3125"/>
      <c r="S54" s="3126"/>
      <c r="T54" s="3125"/>
      <c r="U54" s="3126"/>
      <c r="V54" s="3124"/>
      <c r="W54" s="3124"/>
    </row>
    <row r="55" spans="1:23" x14ac:dyDescent="0.35">
      <c r="A55" s="3120"/>
      <c r="B55" s="3121"/>
      <c r="C55" s="3122"/>
      <c r="D55" s="996" t="s">
        <v>670</v>
      </c>
      <c r="E55" s="997"/>
      <c r="F55" s="997"/>
      <c r="G55" s="997"/>
      <c r="H55" s="997"/>
      <c r="I55" s="997"/>
      <c r="J55" s="997"/>
      <c r="K55" s="3123"/>
      <c r="L55" s="3124"/>
      <c r="M55" s="3067"/>
      <c r="N55" s="3067"/>
      <c r="O55" s="3067"/>
      <c r="P55" s="3067"/>
      <c r="Q55" s="3067"/>
      <c r="R55" s="3125"/>
      <c r="S55" s="3126"/>
      <c r="T55" s="3125"/>
      <c r="U55" s="3126"/>
      <c r="V55" s="3124"/>
      <c r="W55" s="3124"/>
    </row>
    <row r="56" spans="1:23" ht="16" thickBot="1" x14ac:dyDescent="0.4">
      <c r="A56" s="3044"/>
      <c r="B56" s="3045"/>
      <c r="C56" s="3046"/>
      <c r="D56" s="985" t="s">
        <v>671</v>
      </c>
      <c r="E56" s="986"/>
      <c r="F56" s="986"/>
      <c r="G56" s="986"/>
      <c r="H56" s="986"/>
      <c r="I56" s="986"/>
      <c r="J56" s="986"/>
      <c r="K56" s="3104"/>
      <c r="L56" s="3105"/>
      <c r="M56" s="3067"/>
      <c r="N56" s="3067"/>
      <c r="O56" s="3067"/>
      <c r="P56" s="3067"/>
      <c r="Q56" s="3067"/>
      <c r="R56" s="3087"/>
      <c r="S56" s="3088"/>
      <c r="T56" s="3087"/>
      <c r="U56" s="3088"/>
      <c r="V56" s="3105"/>
      <c r="W56" s="3105"/>
    </row>
    <row r="57" spans="1:23" ht="15" x14ac:dyDescent="0.3">
      <c r="A57" s="3089" t="s">
        <v>672</v>
      </c>
      <c r="B57" s="3090"/>
      <c r="C57" s="3091"/>
      <c r="D57" s="976" t="s">
        <v>673</v>
      </c>
      <c r="E57" s="977"/>
      <c r="F57" s="977"/>
      <c r="G57" s="977"/>
      <c r="H57" s="977"/>
      <c r="I57" s="977"/>
      <c r="J57" s="978"/>
      <c r="K57" s="3130">
        <f>K60+K64+K72+K68</f>
        <v>1723.7</v>
      </c>
      <c r="L57" s="3131"/>
      <c r="M57" s="3067">
        <v>2183.6579999999999</v>
      </c>
      <c r="N57" s="3067"/>
      <c r="O57" s="3067"/>
      <c r="P57" s="3067">
        <f>P60+P64+P72</f>
        <v>2913.6940000000004</v>
      </c>
      <c r="Q57" s="3136">
        <v>2859.2967100000001</v>
      </c>
      <c r="R57" s="3137">
        <f>R60+R64+R72+R68</f>
        <v>1933</v>
      </c>
      <c r="S57" s="3138"/>
      <c r="T57" s="3137">
        <f>T60+T64+T72+T68</f>
        <v>1975</v>
      </c>
      <c r="U57" s="3138"/>
      <c r="V57" s="3131">
        <f>V68+V72</f>
        <v>1761.1</v>
      </c>
      <c r="W57" s="3131">
        <f>W68+W72</f>
        <v>1799.9960000000001</v>
      </c>
    </row>
    <row r="58" spans="1:23" ht="15" x14ac:dyDescent="0.3">
      <c r="A58" s="3127"/>
      <c r="B58" s="3128"/>
      <c r="C58" s="3129"/>
      <c r="D58" s="999" t="s">
        <v>674</v>
      </c>
      <c r="E58" s="1000"/>
      <c r="F58" s="1000"/>
      <c r="G58" s="1000"/>
      <c r="H58" s="1000"/>
      <c r="I58" s="1000"/>
      <c r="J58" s="1001"/>
      <c r="K58" s="3132"/>
      <c r="L58" s="3133"/>
      <c r="M58" s="3067"/>
      <c r="N58" s="3067"/>
      <c r="O58" s="3067"/>
      <c r="P58" s="3067"/>
      <c r="Q58" s="3136"/>
      <c r="R58" s="3139"/>
      <c r="S58" s="3140"/>
      <c r="T58" s="3139"/>
      <c r="U58" s="3140"/>
      <c r="V58" s="3133"/>
      <c r="W58" s="3133"/>
    </row>
    <row r="59" spans="1:23" thickBot="1" x14ac:dyDescent="0.35">
      <c r="A59" s="3092"/>
      <c r="B59" s="3093"/>
      <c r="C59" s="3094"/>
      <c r="D59" s="979" t="s">
        <v>675</v>
      </c>
      <c r="E59" s="980"/>
      <c r="F59" s="980"/>
      <c r="G59" s="980"/>
      <c r="H59" s="980"/>
      <c r="I59" s="980"/>
      <c r="J59" s="981"/>
      <c r="K59" s="3134"/>
      <c r="L59" s="3135"/>
      <c r="M59" s="3067"/>
      <c r="N59" s="3067"/>
      <c r="O59" s="3067"/>
      <c r="P59" s="3067"/>
      <c r="Q59" s="3136"/>
      <c r="R59" s="3141"/>
      <c r="S59" s="3142"/>
      <c r="T59" s="3141"/>
      <c r="U59" s="3142"/>
      <c r="V59" s="3135"/>
      <c r="W59" s="3135"/>
    </row>
    <row r="60" spans="1:23" ht="15.65" hidden="1" customHeight="1" thickBot="1" x14ac:dyDescent="0.4">
      <c r="A60" s="3041" t="s">
        <v>676</v>
      </c>
      <c r="B60" s="3042"/>
      <c r="C60" s="3043"/>
      <c r="D60" s="982" t="s">
        <v>677</v>
      </c>
      <c r="E60" s="983"/>
      <c r="F60" s="983"/>
      <c r="G60" s="983"/>
      <c r="H60" s="983"/>
      <c r="I60" s="983"/>
      <c r="J60" s="984"/>
      <c r="K60" s="3143"/>
      <c r="L60" s="3144"/>
      <c r="M60" s="3067">
        <v>1030</v>
      </c>
      <c r="N60" s="3067">
        <v>140</v>
      </c>
      <c r="O60" s="3067">
        <v>140</v>
      </c>
      <c r="P60" s="3067">
        <f>M60+N60+O60</f>
        <v>1310</v>
      </c>
      <c r="Q60" s="3136">
        <v>1430.7293099999999</v>
      </c>
      <c r="R60" s="3149"/>
      <c r="S60" s="3150"/>
      <c r="T60" s="3149"/>
      <c r="U60" s="3150"/>
      <c r="V60" s="3144"/>
      <c r="W60" s="3144"/>
    </row>
    <row r="61" spans="1:23" ht="15.65" hidden="1" customHeight="1" thickBot="1" x14ac:dyDescent="0.4">
      <c r="A61" s="3120"/>
      <c r="B61" s="3121"/>
      <c r="C61" s="3122"/>
      <c r="D61" s="996" t="s">
        <v>678</v>
      </c>
      <c r="E61" s="997"/>
      <c r="F61" s="997"/>
      <c r="G61" s="997"/>
      <c r="H61" s="997"/>
      <c r="I61" s="997"/>
      <c r="J61" s="998"/>
      <c r="K61" s="3145"/>
      <c r="L61" s="3146"/>
      <c r="M61" s="3067"/>
      <c r="N61" s="3067"/>
      <c r="O61" s="3067"/>
      <c r="P61" s="3067"/>
      <c r="Q61" s="3136"/>
      <c r="R61" s="3151"/>
      <c r="S61" s="3152"/>
      <c r="T61" s="3151"/>
      <c r="U61" s="3152"/>
      <c r="V61" s="3146"/>
      <c r="W61" s="3146"/>
    </row>
    <row r="62" spans="1:23" ht="15.65" hidden="1" customHeight="1" thickBot="1" x14ac:dyDescent="0.4">
      <c r="A62" s="3120"/>
      <c r="B62" s="3121"/>
      <c r="C62" s="3122"/>
      <c r="D62" s="996" t="s">
        <v>679</v>
      </c>
      <c r="E62" s="997"/>
      <c r="F62" s="997"/>
      <c r="G62" s="997"/>
      <c r="H62" s="997"/>
      <c r="I62" s="997"/>
      <c r="J62" s="998"/>
      <c r="K62" s="3145"/>
      <c r="L62" s="3146"/>
      <c r="M62" s="3067"/>
      <c r="N62" s="3067"/>
      <c r="O62" s="3067"/>
      <c r="P62" s="3067"/>
      <c r="Q62" s="3136"/>
      <c r="R62" s="3151"/>
      <c r="S62" s="3152"/>
      <c r="T62" s="3151"/>
      <c r="U62" s="3152"/>
      <c r="V62" s="3146"/>
      <c r="W62" s="3146"/>
    </row>
    <row r="63" spans="1:23" ht="15.65" hidden="1" customHeight="1" thickBot="1" x14ac:dyDescent="0.4">
      <c r="A63" s="3044"/>
      <c r="B63" s="3045"/>
      <c r="C63" s="3046"/>
      <c r="D63" s="985" t="s">
        <v>680</v>
      </c>
      <c r="E63" s="986"/>
      <c r="F63" s="986"/>
      <c r="G63" s="986"/>
      <c r="H63" s="986"/>
      <c r="I63" s="986"/>
      <c r="J63" s="987"/>
      <c r="K63" s="3147"/>
      <c r="L63" s="3148"/>
      <c r="M63" s="3067"/>
      <c r="N63" s="3067"/>
      <c r="O63" s="3067"/>
      <c r="P63" s="3067"/>
      <c r="Q63" s="3136"/>
      <c r="R63" s="3153"/>
      <c r="S63" s="3154"/>
      <c r="T63" s="3153"/>
      <c r="U63" s="3154"/>
      <c r="V63" s="3148"/>
      <c r="W63" s="3148"/>
    </row>
    <row r="64" spans="1:23" ht="15.65" hidden="1" customHeight="1" thickBot="1" x14ac:dyDescent="0.4">
      <c r="A64" s="3041" t="s">
        <v>681</v>
      </c>
      <c r="B64" s="3042"/>
      <c r="C64" s="3043"/>
      <c r="D64" s="982" t="s">
        <v>682</v>
      </c>
      <c r="E64" s="983"/>
      <c r="F64" s="983"/>
      <c r="G64" s="983"/>
      <c r="H64" s="983"/>
      <c r="I64" s="983"/>
      <c r="J64" s="984"/>
      <c r="K64" s="3143"/>
      <c r="L64" s="3144"/>
      <c r="M64" s="3067">
        <v>928.55</v>
      </c>
      <c r="N64" s="3067">
        <v>200</v>
      </c>
      <c r="O64" s="3067">
        <v>200</v>
      </c>
      <c r="P64" s="3067">
        <f>M64+N64+O64</f>
        <v>1328.55</v>
      </c>
      <c r="Q64" s="3136">
        <v>1007.7294000000001</v>
      </c>
      <c r="R64" s="3149"/>
      <c r="S64" s="3150"/>
      <c r="T64" s="3149"/>
      <c r="U64" s="3150"/>
      <c r="V64" s="3144"/>
      <c r="W64" s="3144"/>
    </row>
    <row r="65" spans="1:23" ht="14.25" hidden="1" customHeight="1" x14ac:dyDescent="0.35">
      <c r="A65" s="3120"/>
      <c r="B65" s="3121"/>
      <c r="C65" s="3122"/>
      <c r="D65" s="996" t="s">
        <v>683</v>
      </c>
      <c r="E65" s="997"/>
      <c r="F65" s="997"/>
      <c r="G65" s="997"/>
      <c r="H65" s="997"/>
      <c r="I65" s="997"/>
      <c r="J65" s="998"/>
      <c r="K65" s="3145"/>
      <c r="L65" s="3146"/>
      <c r="M65" s="3067"/>
      <c r="N65" s="3067"/>
      <c r="O65" s="3067"/>
      <c r="P65" s="3067"/>
      <c r="Q65" s="3136"/>
      <c r="R65" s="3151"/>
      <c r="S65" s="3152"/>
      <c r="T65" s="3151"/>
      <c r="U65" s="3152"/>
      <c r="V65" s="3146"/>
      <c r="W65" s="3146"/>
    </row>
    <row r="66" spans="1:23" ht="15.75" hidden="1" customHeight="1" x14ac:dyDescent="0.35">
      <c r="A66" s="3120"/>
      <c r="B66" s="3121"/>
      <c r="C66" s="3122"/>
      <c r="D66" s="996" t="s">
        <v>684</v>
      </c>
      <c r="E66" s="997"/>
      <c r="F66" s="997"/>
      <c r="G66" s="997"/>
      <c r="H66" s="997"/>
      <c r="I66" s="997"/>
      <c r="J66" s="998"/>
      <c r="K66" s="3145"/>
      <c r="L66" s="3146"/>
      <c r="M66" s="3067"/>
      <c r="N66" s="3067"/>
      <c r="O66" s="3067"/>
      <c r="P66" s="3067"/>
      <c r="Q66" s="3136"/>
      <c r="R66" s="3151"/>
      <c r="S66" s="3152"/>
      <c r="T66" s="3151"/>
      <c r="U66" s="3152"/>
      <c r="V66" s="3146"/>
      <c r="W66" s="3146"/>
    </row>
    <row r="67" spans="1:23" ht="15.75" hidden="1" customHeight="1" thickBot="1" x14ac:dyDescent="0.4">
      <c r="A67" s="3044"/>
      <c r="B67" s="3045"/>
      <c r="C67" s="3046"/>
      <c r="D67" s="985" t="s">
        <v>685</v>
      </c>
      <c r="E67" s="986"/>
      <c r="F67" s="986"/>
      <c r="G67" s="986"/>
      <c r="H67" s="986"/>
      <c r="I67" s="986"/>
      <c r="J67" s="987"/>
      <c r="K67" s="3147"/>
      <c r="L67" s="3148"/>
      <c r="M67" s="3067"/>
      <c r="N67" s="3067"/>
      <c r="O67" s="3067"/>
      <c r="P67" s="3067"/>
      <c r="Q67" s="3136"/>
      <c r="R67" s="3153"/>
      <c r="S67" s="3154"/>
      <c r="T67" s="3153"/>
      <c r="U67" s="3154"/>
      <c r="V67" s="3148"/>
      <c r="W67" s="3148"/>
    </row>
    <row r="68" spans="1:23" x14ac:dyDescent="0.35">
      <c r="A68" s="3041" t="s">
        <v>686</v>
      </c>
      <c r="B68" s="3042"/>
      <c r="C68" s="3043"/>
      <c r="D68" s="1002"/>
      <c r="E68" s="997"/>
      <c r="F68" s="997"/>
      <c r="G68" s="997"/>
      <c r="H68" s="997"/>
      <c r="I68" s="997"/>
      <c r="J68" s="998"/>
      <c r="K68" s="3143">
        <v>788.7</v>
      </c>
      <c r="L68" s="3144"/>
      <c r="M68" s="3067">
        <v>928.55</v>
      </c>
      <c r="N68" s="3067">
        <v>200</v>
      </c>
      <c r="O68" s="3067">
        <v>200</v>
      </c>
      <c r="P68" s="3067">
        <f>M68+N68+O68</f>
        <v>1328.55</v>
      </c>
      <c r="Q68" s="3136">
        <v>1007.7294000000001</v>
      </c>
      <c r="R68" s="3149">
        <v>1035</v>
      </c>
      <c r="S68" s="3150"/>
      <c r="T68" s="3149">
        <v>1040</v>
      </c>
      <c r="U68" s="3150"/>
      <c r="V68" s="3144">
        <v>788.7</v>
      </c>
      <c r="W68" s="3144">
        <v>788.7</v>
      </c>
    </row>
    <row r="69" spans="1:23" ht="14.25" customHeight="1" x14ac:dyDescent="0.35">
      <c r="A69" s="3120"/>
      <c r="B69" s="3121"/>
      <c r="C69" s="3122"/>
      <c r="D69" s="997" t="s">
        <v>687</v>
      </c>
      <c r="E69" s="997"/>
      <c r="F69" s="997"/>
      <c r="G69" s="997"/>
      <c r="H69" s="997"/>
      <c r="I69" s="997"/>
      <c r="J69" s="998"/>
      <c r="K69" s="3145"/>
      <c r="L69" s="3146"/>
      <c r="M69" s="3067"/>
      <c r="N69" s="3067"/>
      <c r="O69" s="3067"/>
      <c r="P69" s="3067"/>
      <c r="Q69" s="3136"/>
      <c r="R69" s="3151"/>
      <c r="S69" s="3152"/>
      <c r="T69" s="3151"/>
      <c r="U69" s="3152"/>
      <c r="V69" s="3146"/>
      <c r="W69" s="3146"/>
    </row>
    <row r="70" spans="1:23" ht="15.75" customHeight="1" x14ac:dyDescent="0.35">
      <c r="A70" s="3120"/>
      <c r="B70" s="3121"/>
      <c r="C70" s="3122"/>
      <c r="D70" s="997" t="s">
        <v>688</v>
      </c>
      <c r="E70" s="997"/>
      <c r="F70" s="997"/>
      <c r="G70" s="997"/>
      <c r="H70" s="997"/>
      <c r="I70" s="997"/>
      <c r="J70" s="998"/>
      <c r="K70" s="3145"/>
      <c r="L70" s="3146"/>
      <c r="M70" s="3067"/>
      <c r="N70" s="3067"/>
      <c r="O70" s="3067"/>
      <c r="P70" s="3067"/>
      <c r="Q70" s="3136"/>
      <c r="R70" s="3151"/>
      <c r="S70" s="3152"/>
      <c r="T70" s="3151"/>
      <c r="U70" s="3152"/>
      <c r="V70" s="3146"/>
      <c r="W70" s="3146"/>
    </row>
    <row r="71" spans="1:23" ht="15.75" customHeight="1" thickBot="1" x14ac:dyDescent="0.4">
      <c r="A71" s="3044"/>
      <c r="B71" s="3045"/>
      <c r="C71" s="3046"/>
      <c r="D71" s="986"/>
      <c r="E71" s="986"/>
      <c r="F71" s="986"/>
      <c r="G71" s="986"/>
      <c r="H71" s="986"/>
      <c r="I71" s="986"/>
      <c r="J71" s="987"/>
      <c r="K71" s="3147"/>
      <c r="L71" s="3148"/>
      <c r="M71" s="3067"/>
      <c r="N71" s="3067"/>
      <c r="O71" s="3067"/>
      <c r="P71" s="3067"/>
      <c r="Q71" s="3136"/>
      <c r="R71" s="3153"/>
      <c r="S71" s="3154"/>
      <c r="T71" s="3153"/>
      <c r="U71" s="3154"/>
      <c r="V71" s="3148"/>
      <c r="W71" s="3148"/>
    </row>
    <row r="72" spans="1:23" ht="15" customHeight="1" x14ac:dyDescent="0.35">
      <c r="A72" s="3041" t="s">
        <v>689</v>
      </c>
      <c r="B72" s="3042"/>
      <c r="C72" s="3043"/>
      <c r="D72" s="982" t="s">
        <v>690</v>
      </c>
      <c r="E72" s="983"/>
      <c r="F72" s="983"/>
      <c r="G72" s="983"/>
      <c r="H72" s="983"/>
      <c r="I72" s="983"/>
      <c r="J72" s="984"/>
      <c r="K72" s="3143">
        <v>935</v>
      </c>
      <c r="L72" s="3144"/>
      <c r="M72" s="3155">
        <v>225.108</v>
      </c>
      <c r="N72" s="3158">
        <f>24.9+0.118</f>
        <v>25.017999999999997</v>
      </c>
      <c r="O72" s="3158">
        <v>25.018000000000001</v>
      </c>
      <c r="P72" s="3161">
        <f>M72+N72+O72</f>
        <v>275.14400000000001</v>
      </c>
      <c r="Q72" s="3158">
        <v>420.83800000000002</v>
      </c>
      <c r="R72" s="3271">
        <v>898</v>
      </c>
      <c r="S72" s="3272"/>
      <c r="T72" s="3271">
        <v>935</v>
      </c>
      <c r="U72" s="3272"/>
      <c r="V72" s="3144">
        <v>972.4</v>
      </c>
      <c r="W72" s="3144">
        <v>1011.296</v>
      </c>
    </row>
    <row r="73" spans="1:23" ht="13.15" customHeight="1" x14ac:dyDescent="0.35">
      <c r="A73" s="3120"/>
      <c r="B73" s="3121"/>
      <c r="C73" s="3122"/>
      <c r="D73" s="996" t="s">
        <v>691</v>
      </c>
      <c r="E73" s="997"/>
      <c r="F73" s="997"/>
      <c r="G73" s="997"/>
      <c r="H73" s="997"/>
      <c r="I73" s="997"/>
      <c r="J73" s="998"/>
      <c r="K73" s="3145"/>
      <c r="L73" s="3146"/>
      <c r="M73" s="3156"/>
      <c r="N73" s="3159"/>
      <c r="O73" s="3159"/>
      <c r="P73" s="3162"/>
      <c r="Q73" s="3159"/>
      <c r="R73" s="3273"/>
      <c r="S73" s="3274"/>
      <c r="T73" s="3273"/>
      <c r="U73" s="3274"/>
      <c r="V73" s="3146"/>
      <c r="W73" s="3146"/>
    </row>
    <row r="74" spans="1:23" ht="13.15" customHeight="1" x14ac:dyDescent="0.35">
      <c r="A74" s="3120"/>
      <c r="B74" s="3121"/>
      <c r="C74" s="3122"/>
      <c r="D74" s="996" t="s">
        <v>692</v>
      </c>
      <c r="E74" s="997"/>
      <c r="F74" s="997"/>
      <c r="G74" s="997"/>
      <c r="H74" s="997"/>
      <c r="I74" s="997"/>
      <c r="J74" s="998"/>
      <c r="K74" s="3145"/>
      <c r="L74" s="3146"/>
      <c r="M74" s="3156"/>
      <c r="N74" s="3159"/>
      <c r="O74" s="3159"/>
      <c r="P74" s="3162"/>
      <c r="Q74" s="3159"/>
      <c r="R74" s="3273"/>
      <c r="S74" s="3274"/>
      <c r="T74" s="3273"/>
      <c r="U74" s="3274"/>
      <c r="V74" s="3146"/>
      <c r="W74" s="3146"/>
    </row>
    <row r="75" spans="1:23" ht="12.75" customHeight="1" thickBot="1" x14ac:dyDescent="0.4">
      <c r="A75" s="3044"/>
      <c r="B75" s="3045"/>
      <c r="C75" s="3046"/>
      <c r="D75" s="985" t="s">
        <v>693</v>
      </c>
      <c r="E75" s="986"/>
      <c r="F75" s="986"/>
      <c r="G75" s="986"/>
      <c r="H75" s="986"/>
      <c r="I75" s="986"/>
      <c r="J75" s="987"/>
      <c r="K75" s="3147"/>
      <c r="L75" s="3148"/>
      <c r="M75" s="3157"/>
      <c r="N75" s="3160"/>
      <c r="O75" s="3160"/>
      <c r="P75" s="3163"/>
      <c r="Q75" s="3160"/>
      <c r="R75" s="3275"/>
      <c r="S75" s="3276"/>
      <c r="T75" s="3275"/>
      <c r="U75" s="3276"/>
      <c r="V75" s="3148"/>
      <c r="W75" s="3148"/>
    </row>
    <row r="76" spans="1:23" ht="15" x14ac:dyDescent="0.3">
      <c r="A76" s="3089" t="s">
        <v>694</v>
      </c>
      <c r="B76" s="3090"/>
      <c r="C76" s="3091"/>
      <c r="D76" s="976" t="s">
        <v>887</v>
      </c>
      <c r="E76" s="977"/>
      <c r="F76" s="977"/>
      <c r="G76" s="977"/>
      <c r="H76" s="977"/>
      <c r="I76" s="977"/>
      <c r="J76" s="978"/>
      <c r="K76" s="3130">
        <f>K78+K81</f>
        <v>537.07399999999996</v>
      </c>
      <c r="L76" s="3131"/>
      <c r="M76" s="3067">
        <v>97</v>
      </c>
      <c r="N76" s="3067"/>
      <c r="O76" s="3067"/>
      <c r="P76" s="3067">
        <f>P78+P81</f>
        <v>125</v>
      </c>
      <c r="Q76" s="3136">
        <v>435.29176000000001</v>
      </c>
      <c r="R76" s="3164">
        <f>R78+R81</f>
        <v>10.6</v>
      </c>
      <c r="S76" s="3165"/>
      <c r="T76" s="3164">
        <f>T78+T81</f>
        <v>11.1</v>
      </c>
      <c r="U76" s="3165"/>
      <c r="V76" s="3131">
        <f>V81</f>
        <v>25</v>
      </c>
      <c r="W76" s="3131">
        <f>W81</f>
        <v>25</v>
      </c>
    </row>
    <row r="77" spans="1:23" thickBot="1" x14ac:dyDescent="0.35">
      <c r="A77" s="3092"/>
      <c r="B77" s="3093"/>
      <c r="C77" s="3094"/>
      <c r="D77" s="979" t="s">
        <v>695</v>
      </c>
      <c r="E77" s="980"/>
      <c r="F77" s="980"/>
      <c r="G77" s="980"/>
      <c r="H77" s="980"/>
      <c r="I77" s="980"/>
      <c r="J77" s="981"/>
      <c r="K77" s="3134"/>
      <c r="L77" s="3135"/>
      <c r="M77" s="3067"/>
      <c r="N77" s="3067"/>
      <c r="O77" s="3067"/>
      <c r="P77" s="3067"/>
      <c r="Q77" s="3136"/>
      <c r="R77" s="3166"/>
      <c r="S77" s="3167"/>
      <c r="T77" s="3166"/>
      <c r="U77" s="3167"/>
      <c r="V77" s="3135"/>
      <c r="W77" s="3135"/>
    </row>
    <row r="78" spans="1:23" ht="15" hidden="1" customHeight="1" x14ac:dyDescent="0.35">
      <c r="A78" s="3041" t="s">
        <v>696</v>
      </c>
      <c r="B78" s="3042"/>
      <c r="C78" s="3043"/>
      <c r="D78" s="982" t="s">
        <v>697</v>
      </c>
      <c r="E78" s="983"/>
      <c r="F78" s="983"/>
      <c r="G78" s="983"/>
      <c r="H78" s="983"/>
      <c r="I78" s="983"/>
      <c r="J78" s="984"/>
      <c r="K78" s="3143"/>
      <c r="L78" s="3171"/>
      <c r="M78" s="3067">
        <v>69</v>
      </c>
      <c r="N78" s="3067">
        <v>7</v>
      </c>
      <c r="O78" s="3067">
        <v>7</v>
      </c>
      <c r="P78" s="3067">
        <f>M78+N78+O78</f>
        <v>83</v>
      </c>
      <c r="Q78" s="3067">
        <v>0.5</v>
      </c>
      <c r="R78" s="3149"/>
      <c r="S78" s="3176"/>
      <c r="T78" s="3149"/>
      <c r="U78" s="3176"/>
      <c r="V78" s="3171"/>
      <c r="W78" s="3171"/>
    </row>
    <row r="79" spans="1:23" ht="15" hidden="1" customHeight="1" x14ac:dyDescent="0.35">
      <c r="A79" s="3120"/>
      <c r="B79" s="3121"/>
      <c r="C79" s="3122"/>
      <c r="D79" s="996" t="s">
        <v>698</v>
      </c>
      <c r="E79" s="997"/>
      <c r="F79" s="997"/>
      <c r="G79" s="997"/>
      <c r="H79" s="997"/>
      <c r="I79" s="997"/>
      <c r="J79" s="998"/>
      <c r="K79" s="3172"/>
      <c r="L79" s="3173"/>
      <c r="M79" s="3067"/>
      <c r="N79" s="3067"/>
      <c r="O79" s="3067"/>
      <c r="P79" s="3067"/>
      <c r="Q79" s="3067"/>
      <c r="R79" s="3177"/>
      <c r="S79" s="3178"/>
      <c r="T79" s="3177"/>
      <c r="U79" s="3178"/>
      <c r="V79" s="3173"/>
      <c r="W79" s="3173"/>
    </row>
    <row r="80" spans="1:23" ht="7.15" hidden="1" customHeight="1" x14ac:dyDescent="0.35">
      <c r="A80" s="3168"/>
      <c r="B80" s="3169"/>
      <c r="C80" s="3170"/>
      <c r="D80" s="1003"/>
      <c r="E80" s="1004"/>
      <c r="F80" s="1004"/>
      <c r="G80" s="1004"/>
      <c r="H80" s="1004"/>
      <c r="I80" s="1004"/>
      <c r="J80" s="1005"/>
      <c r="K80" s="3174"/>
      <c r="L80" s="3175"/>
      <c r="M80" s="3067"/>
      <c r="N80" s="3067"/>
      <c r="O80" s="3067"/>
      <c r="P80" s="3067"/>
      <c r="Q80" s="3067"/>
      <c r="R80" s="3179"/>
      <c r="S80" s="3180"/>
      <c r="T80" s="3179"/>
      <c r="U80" s="3180"/>
      <c r="V80" s="3175"/>
      <c r="W80" s="3175"/>
    </row>
    <row r="81" spans="1:23" ht="16" thickBot="1" x14ac:dyDescent="0.4">
      <c r="A81" s="3188" t="s">
        <v>699</v>
      </c>
      <c r="B81" s="3189"/>
      <c r="C81" s="3190"/>
      <c r="D81" s="996" t="s">
        <v>700</v>
      </c>
      <c r="E81" s="997"/>
      <c r="F81" s="997"/>
      <c r="G81" s="997"/>
      <c r="H81" s="997"/>
      <c r="I81" s="997"/>
      <c r="J81" s="998"/>
      <c r="K81" s="3191">
        <v>537.07399999999996</v>
      </c>
      <c r="L81" s="3192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193">
        <v>10.6</v>
      </c>
      <c r="S81" s="3194"/>
      <c r="T81" s="3193">
        <v>11.1</v>
      </c>
      <c r="U81" s="3194"/>
      <c r="V81" s="1817">
        <v>25</v>
      </c>
      <c r="W81" s="1817">
        <v>25</v>
      </c>
    </row>
    <row r="82" spans="1:23" ht="15" hidden="1" x14ac:dyDescent="0.3">
      <c r="A82" s="3089" t="s">
        <v>701</v>
      </c>
      <c r="B82" s="3090"/>
      <c r="C82" s="3091"/>
      <c r="D82" s="976" t="s">
        <v>702</v>
      </c>
      <c r="E82" s="977"/>
      <c r="F82" s="977"/>
      <c r="G82" s="977"/>
      <c r="H82" s="977"/>
      <c r="I82" s="977"/>
      <c r="J82" s="978"/>
      <c r="K82" s="3130">
        <f>K85+K90+K84</f>
        <v>0</v>
      </c>
      <c r="L82" s="3131"/>
      <c r="M82" s="3067">
        <v>530</v>
      </c>
      <c r="N82" s="3067"/>
      <c r="O82" s="3067"/>
      <c r="P82" s="3067">
        <f>P84+P85+P90</f>
        <v>590</v>
      </c>
      <c r="Q82" s="3136">
        <v>375.10428000000002</v>
      </c>
      <c r="R82" s="3164">
        <f>R85+R90+R84</f>
        <v>1540</v>
      </c>
      <c r="S82" s="3165"/>
      <c r="T82" s="3164">
        <f>T85+T90+T84</f>
        <v>755</v>
      </c>
      <c r="U82" s="3165"/>
      <c r="V82" s="3131">
        <f>V85</f>
        <v>0</v>
      </c>
      <c r="W82" s="3131">
        <f>W85</f>
        <v>0</v>
      </c>
    </row>
    <row r="83" spans="1:23" hidden="1" thickBot="1" x14ac:dyDescent="0.35">
      <c r="A83" s="3092"/>
      <c r="B83" s="3093"/>
      <c r="C83" s="3094"/>
      <c r="D83" s="979" t="s">
        <v>703</v>
      </c>
      <c r="E83" s="980"/>
      <c r="F83" s="980"/>
      <c r="G83" s="980"/>
      <c r="H83" s="980"/>
      <c r="I83" s="980"/>
      <c r="J83" s="981"/>
      <c r="K83" s="3134"/>
      <c r="L83" s="3135"/>
      <c r="M83" s="3161"/>
      <c r="N83" s="3161"/>
      <c r="O83" s="3161"/>
      <c r="P83" s="3161"/>
      <c r="Q83" s="3270"/>
      <c r="R83" s="3166"/>
      <c r="S83" s="3167"/>
      <c r="T83" s="3166"/>
      <c r="U83" s="3167"/>
      <c r="V83" s="3135"/>
      <c r="W83" s="3135"/>
    </row>
    <row r="84" spans="1:23" ht="15.65" hidden="1" customHeight="1" x14ac:dyDescent="0.35">
      <c r="A84" s="3181" t="s">
        <v>704</v>
      </c>
      <c r="B84" s="3182"/>
      <c r="C84" s="3183"/>
      <c r="D84" s="1006" t="s">
        <v>705</v>
      </c>
      <c r="E84" s="1007"/>
      <c r="F84" s="1007"/>
      <c r="G84" s="1007"/>
      <c r="H84" s="1007"/>
      <c r="I84" s="1007"/>
      <c r="J84" s="1008"/>
      <c r="K84" s="3184"/>
      <c r="L84" s="3185"/>
      <c r="M84" s="883"/>
      <c r="N84" s="884"/>
      <c r="O84" s="884"/>
      <c r="P84" s="884"/>
      <c r="Q84" s="885">
        <v>62.085000000000001</v>
      </c>
      <c r="R84" s="3186"/>
      <c r="S84" s="3187"/>
      <c r="T84" s="3186"/>
      <c r="U84" s="3187"/>
      <c r="V84" s="1736"/>
      <c r="W84" s="1736"/>
    </row>
    <row r="85" spans="1:23" hidden="1" x14ac:dyDescent="0.35">
      <c r="A85" s="3198" t="s">
        <v>706</v>
      </c>
      <c r="B85" s="3199"/>
      <c r="C85" s="3200"/>
      <c r="D85" s="996" t="s">
        <v>707</v>
      </c>
      <c r="E85" s="997"/>
      <c r="F85" s="997"/>
      <c r="G85" s="997"/>
      <c r="H85" s="997"/>
      <c r="I85" s="997"/>
      <c r="J85" s="998"/>
      <c r="K85" s="3201"/>
      <c r="L85" s="3202"/>
      <c r="M85" s="3163">
        <v>190</v>
      </c>
      <c r="N85" s="3163">
        <v>30</v>
      </c>
      <c r="O85" s="3163">
        <v>30</v>
      </c>
      <c r="P85" s="3163">
        <f>M85+N85+O85</f>
        <v>250</v>
      </c>
      <c r="Q85" s="3197">
        <v>243.4375</v>
      </c>
      <c r="R85" s="3151">
        <v>1540</v>
      </c>
      <c r="S85" s="3152"/>
      <c r="T85" s="3151">
        <v>755</v>
      </c>
      <c r="U85" s="3152"/>
      <c r="V85" s="3202">
        <v>0</v>
      </c>
      <c r="W85" s="3202">
        <v>0</v>
      </c>
    </row>
    <row r="86" spans="1:23" hidden="1" x14ac:dyDescent="0.35">
      <c r="A86" s="3120"/>
      <c r="B86" s="3121"/>
      <c r="C86" s="3122"/>
      <c r="D86" s="996" t="s">
        <v>708</v>
      </c>
      <c r="E86" s="997"/>
      <c r="F86" s="997"/>
      <c r="G86" s="997"/>
      <c r="H86" s="997"/>
      <c r="I86" s="997"/>
      <c r="J86" s="998"/>
      <c r="K86" s="3145"/>
      <c r="L86" s="3146"/>
      <c r="M86" s="3067"/>
      <c r="N86" s="3067"/>
      <c r="O86" s="3067"/>
      <c r="P86" s="3067"/>
      <c r="Q86" s="3136"/>
      <c r="R86" s="3151"/>
      <c r="S86" s="3152"/>
      <c r="T86" s="3151"/>
      <c r="U86" s="3152"/>
      <c r="V86" s="3146"/>
      <c r="W86" s="3146"/>
    </row>
    <row r="87" spans="1:23" hidden="1" x14ac:dyDescent="0.35">
      <c r="A87" s="3120"/>
      <c r="B87" s="3121"/>
      <c r="C87" s="3122"/>
      <c r="D87" s="996" t="s">
        <v>709</v>
      </c>
      <c r="E87" s="997"/>
      <c r="F87" s="997"/>
      <c r="G87" s="997"/>
      <c r="H87" s="997"/>
      <c r="I87" s="997"/>
      <c r="J87" s="998"/>
      <c r="K87" s="3145"/>
      <c r="L87" s="3146"/>
      <c r="M87" s="3067"/>
      <c r="N87" s="3067"/>
      <c r="O87" s="3067"/>
      <c r="P87" s="3067"/>
      <c r="Q87" s="3136"/>
      <c r="R87" s="3151"/>
      <c r="S87" s="3152"/>
      <c r="T87" s="3151"/>
      <c r="U87" s="3152"/>
      <c r="V87" s="3146"/>
      <c r="W87" s="3146"/>
    </row>
    <row r="88" spans="1:23" hidden="1" x14ac:dyDescent="0.35">
      <c r="A88" s="3120"/>
      <c r="B88" s="3121"/>
      <c r="C88" s="3122"/>
      <c r="D88" s="996" t="s">
        <v>710</v>
      </c>
      <c r="E88" s="997"/>
      <c r="F88" s="997"/>
      <c r="G88" s="997"/>
      <c r="H88" s="997"/>
      <c r="I88" s="997"/>
      <c r="J88" s="998"/>
      <c r="K88" s="3145"/>
      <c r="L88" s="3146"/>
      <c r="M88" s="3067"/>
      <c r="N88" s="3067"/>
      <c r="O88" s="3067"/>
      <c r="P88" s="3067"/>
      <c r="Q88" s="3136"/>
      <c r="R88" s="3151"/>
      <c r="S88" s="3152"/>
      <c r="T88" s="3151"/>
      <c r="U88" s="3152"/>
      <c r="V88" s="3146"/>
      <c r="W88" s="3146"/>
    </row>
    <row r="89" spans="1:23" ht="16" hidden="1" thickBot="1" x14ac:dyDescent="0.4">
      <c r="A89" s="3044"/>
      <c r="B89" s="3045"/>
      <c r="C89" s="3046"/>
      <c r="D89" s="985" t="s">
        <v>711</v>
      </c>
      <c r="E89" s="986"/>
      <c r="F89" s="986"/>
      <c r="G89" s="986"/>
      <c r="H89" s="986"/>
      <c r="I89" s="986"/>
      <c r="J89" s="987"/>
      <c r="K89" s="3147"/>
      <c r="L89" s="3148"/>
      <c r="M89" s="3067"/>
      <c r="N89" s="3067"/>
      <c r="O89" s="3067"/>
      <c r="P89" s="3067"/>
      <c r="Q89" s="3136"/>
      <c r="R89" s="3153"/>
      <c r="S89" s="3154"/>
      <c r="T89" s="3153"/>
      <c r="U89" s="3154"/>
      <c r="V89" s="3148"/>
      <c r="W89" s="3148"/>
    </row>
    <row r="90" spans="1:23" ht="15.65" hidden="1" customHeight="1" thickBot="1" x14ac:dyDescent="0.4">
      <c r="A90" s="3041" t="s">
        <v>712</v>
      </c>
      <c r="B90" s="3042"/>
      <c r="C90" s="3043"/>
      <c r="D90" s="996" t="s">
        <v>713</v>
      </c>
      <c r="E90" s="997"/>
      <c r="F90" s="997"/>
      <c r="G90" s="997"/>
      <c r="H90" s="997"/>
      <c r="I90" s="997"/>
      <c r="J90" s="998"/>
      <c r="K90" s="3143"/>
      <c r="L90" s="3144"/>
      <c r="M90" s="3067">
        <v>340</v>
      </c>
      <c r="N90" s="3067"/>
      <c r="O90" s="3067"/>
      <c r="P90" s="3067">
        <f>M90+N90+O90</f>
        <v>340</v>
      </c>
      <c r="Q90" s="3136">
        <v>69.581779999999995</v>
      </c>
      <c r="R90" s="3149"/>
      <c r="S90" s="3150"/>
      <c r="T90" s="3149"/>
      <c r="U90" s="3150"/>
      <c r="V90" s="3144"/>
      <c r="W90" s="3144"/>
    </row>
    <row r="91" spans="1:23" ht="15.65" hidden="1" customHeight="1" thickBot="1" x14ac:dyDescent="0.4">
      <c r="A91" s="3120"/>
      <c r="B91" s="3121"/>
      <c r="C91" s="3122"/>
      <c r="D91" s="996" t="s">
        <v>714</v>
      </c>
      <c r="E91" s="997"/>
      <c r="F91" s="997"/>
      <c r="G91" s="997"/>
      <c r="H91" s="997"/>
      <c r="I91" s="997"/>
      <c r="J91" s="998"/>
      <c r="K91" s="3145"/>
      <c r="L91" s="3146"/>
      <c r="M91" s="3067"/>
      <c r="N91" s="3067"/>
      <c r="O91" s="3067"/>
      <c r="P91" s="3067"/>
      <c r="Q91" s="3136"/>
      <c r="R91" s="3151"/>
      <c r="S91" s="3152"/>
      <c r="T91" s="3151"/>
      <c r="U91" s="3152"/>
      <c r="V91" s="3146"/>
      <c r="W91" s="3146"/>
    </row>
    <row r="92" spans="1:23" ht="15.65" hidden="1" customHeight="1" thickBot="1" x14ac:dyDescent="0.4">
      <c r="A92" s="3120"/>
      <c r="B92" s="3121"/>
      <c r="C92" s="3122"/>
      <c r="D92" s="996" t="s">
        <v>715</v>
      </c>
      <c r="E92" s="997"/>
      <c r="F92" s="997"/>
      <c r="G92" s="997"/>
      <c r="H92" s="997"/>
      <c r="I92" s="997"/>
      <c r="J92" s="998"/>
      <c r="K92" s="3145"/>
      <c r="L92" s="3146"/>
      <c r="M92" s="3067"/>
      <c r="N92" s="3067"/>
      <c r="O92" s="3067"/>
      <c r="P92" s="3067"/>
      <c r="Q92" s="3136"/>
      <c r="R92" s="3151"/>
      <c r="S92" s="3152"/>
      <c r="T92" s="3151"/>
      <c r="U92" s="3152"/>
      <c r="V92" s="3146"/>
      <c r="W92" s="3146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47"/>
      <c r="L93" s="3148"/>
      <c r="M93" s="1728"/>
      <c r="N93" s="1728"/>
      <c r="O93" s="1728"/>
      <c r="P93" s="1728"/>
      <c r="Q93" s="1730"/>
      <c r="R93" s="3151"/>
      <c r="S93" s="3152"/>
      <c r="T93" s="3151"/>
      <c r="U93" s="3152"/>
      <c r="V93" s="3148"/>
      <c r="W93" s="3148"/>
    </row>
    <row r="94" spans="1:23" ht="15.75" customHeight="1" x14ac:dyDescent="0.35">
      <c r="A94" s="3089" t="s">
        <v>716</v>
      </c>
      <c r="B94" s="3090"/>
      <c r="C94" s="3091"/>
      <c r="D94" s="3110" t="s">
        <v>717</v>
      </c>
      <c r="E94" s="3111"/>
      <c r="F94" s="3111"/>
      <c r="G94" s="3111"/>
      <c r="H94" s="3111"/>
      <c r="I94" s="3111"/>
      <c r="J94" s="3112"/>
      <c r="K94" s="3130">
        <f>K96</f>
        <v>20</v>
      </c>
      <c r="L94" s="3131"/>
      <c r="M94" s="1728"/>
      <c r="N94" s="1728"/>
      <c r="O94" s="1728"/>
      <c r="P94" s="1728"/>
      <c r="Q94" s="1730"/>
      <c r="R94" s="3164">
        <f>R96</f>
        <v>10</v>
      </c>
      <c r="S94" s="3165"/>
      <c r="T94" s="3164">
        <f>T96</f>
        <v>11</v>
      </c>
      <c r="U94" s="3165"/>
      <c r="V94" s="3131">
        <f>V96</f>
        <v>20</v>
      </c>
      <c r="W94" s="3131">
        <f>W96</f>
        <v>20</v>
      </c>
    </row>
    <row r="95" spans="1:23" ht="15.75" customHeight="1" thickBot="1" x14ac:dyDescent="0.4">
      <c r="A95" s="3092"/>
      <c r="B95" s="3093"/>
      <c r="C95" s="3094"/>
      <c r="D95" s="3113"/>
      <c r="E95" s="3114"/>
      <c r="F95" s="3114"/>
      <c r="G95" s="3114"/>
      <c r="H95" s="3114"/>
      <c r="I95" s="3114"/>
      <c r="J95" s="3115"/>
      <c r="K95" s="3134"/>
      <c r="L95" s="3135"/>
      <c r="M95" s="1728"/>
      <c r="N95" s="1728"/>
      <c r="O95" s="1728"/>
      <c r="P95" s="1728"/>
      <c r="Q95" s="1730"/>
      <c r="R95" s="3195"/>
      <c r="S95" s="3196"/>
      <c r="T95" s="3195"/>
      <c r="U95" s="3196"/>
      <c r="V95" s="3135"/>
      <c r="W95" s="3135"/>
    </row>
    <row r="96" spans="1:23" ht="15.75" customHeight="1" x14ac:dyDescent="0.35">
      <c r="A96" s="3041" t="s">
        <v>1000</v>
      </c>
      <c r="B96" s="3042"/>
      <c r="C96" s="3043"/>
      <c r="D96" s="3203" t="s">
        <v>999</v>
      </c>
      <c r="E96" s="3204"/>
      <c r="F96" s="3204"/>
      <c r="G96" s="3204"/>
      <c r="H96" s="3204"/>
      <c r="I96" s="3204"/>
      <c r="J96" s="3205"/>
      <c r="K96" s="3143">
        <v>20</v>
      </c>
      <c r="L96" s="3144"/>
      <c r="M96" s="1728"/>
      <c r="N96" s="1728"/>
      <c r="O96" s="1728"/>
      <c r="P96" s="1728"/>
      <c r="Q96" s="1730"/>
      <c r="R96" s="3149">
        <v>10</v>
      </c>
      <c r="S96" s="3150"/>
      <c r="T96" s="3149">
        <v>11</v>
      </c>
      <c r="U96" s="3150"/>
      <c r="V96" s="3144">
        <v>20</v>
      </c>
      <c r="W96" s="3144">
        <v>20</v>
      </c>
    </row>
    <row r="97" spans="1:28" ht="27" customHeight="1" thickBot="1" x14ac:dyDescent="0.4">
      <c r="A97" s="3044"/>
      <c r="B97" s="3045"/>
      <c r="C97" s="3046"/>
      <c r="D97" s="3206"/>
      <c r="E97" s="3207"/>
      <c r="F97" s="3207"/>
      <c r="G97" s="3207"/>
      <c r="H97" s="3207"/>
      <c r="I97" s="3207"/>
      <c r="J97" s="3208"/>
      <c r="K97" s="3147"/>
      <c r="L97" s="3148"/>
      <c r="M97" s="1728"/>
      <c r="N97" s="1728"/>
      <c r="O97" s="1728"/>
      <c r="P97" s="1728"/>
      <c r="Q97" s="1730"/>
      <c r="R97" s="3209"/>
      <c r="S97" s="3210"/>
      <c r="T97" s="3209"/>
      <c r="U97" s="3210"/>
      <c r="V97" s="3148"/>
      <c r="W97" s="3148"/>
    </row>
    <row r="98" spans="1:28" ht="15" x14ac:dyDescent="0.3">
      <c r="A98" s="3051" t="s">
        <v>720</v>
      </c>
      <c r="B98" s="3052"/>
      <c r="C98" s="3053"/>
      <c r="D98" s="976"/>
      <c r="E98" s="977"/>
      <c r="F98" s="977"/>
      <c r="G98" s="977"/>
      <c r="H98" s="977"/>
      <c r="I98" s="977"/>
      <c r="J98" s="978"/>
      <c r="K98" s="3130">
        <f>K100</f>
        <v>25</v>
      </c>
      <c r="L98" s="3131"/>
      <c r="M98" s="3067">
        <v>90</v>
      </c>
      <c r="N98" s="3067"/>
      <c r="O98" s="3067"/>
      <c r="P98" s="3067">
        <f>P100</f>
        <v>150</v>
      </c>
      <c r="Q98" s="3136">
        <v>129.83756</v>
      </c>
      <c r="R98" s="3164">
        <f>R100</f>
        <v>21</v>
      </c>
      <c r="S98" s="3165"/>
      <c r="T98" s="3164">
        <f>T100</f>
        <v>22</v>
      </c>
      <c r="U98" s="3165"/>
      <c r="V98" s="3131">
        <f>V100</f>
        <v>25</v>
      </c>
      <c r="W98" s="3131">
        <f>W100</f>
        <v>25</v>
      </c>
    </row>
    <row r="99" spans="1:28" thickBot="1" x14ac:dyDescent="0.35">
      <c r="A99" s="3054"/>
      <c r="B99" s="3055"/>
      <c r="C99" s="3056"/>
      <c r="D99" s="1009" t="s">
        <v>721</v>
      </c>
      <c r="E99" s="1010"/>
      <c r="F99" s="1010"/>
      <c r="G99" s="1010"/>
      <c r="H99" s="1010"/>
      <c r="I99" s="1010"/>
      <c r="J99" s="1011"/>
      <c r="K99" s="3134"/>
      <c r="L99" s="3135"/>
      <c r="M99" s="3067"/>
      <c r="N99" s="3067"/>
      <c r="O99" s="3067"/>
      <c r="P99" s="3067"/>
      <c r="Q99" s="3136"/>
      <c r="R99" s="3195"/>
      <c r="S99" s="3196"/>
      <c r="T99" s="3195"/>
      <c r="U99" s="3196"/>
      <c r="V99" s="3135"/>
      <c r="W99" s="3135"/>
    </row>
    <row r="100" spans="1:28" ht="15" customHeight="1" x14ac:dyDescent="0.3">
      <c r="A100" s="3038" t="s">
        <v>722</v>
      </c>
      <c r="B100" s="3039"/>
      <c r="C100" s="3040"/>
      <c r="D100" s="976"/>
      <c r="E100" s="977"/>
      <c r="F100" s="977"/>
      <c r="G100" s="977"/>
      <c r="H100" s="977"/>
      <c r="I100" s="977"/>
      <c r="J100" s="978"/>
      <c r="K100" s="3143">
        <v>25</v>
      </c>
      <c r="L100" s="3144"/>
      <c r="M100" s="3067">
        <v>90</v>
      </c>
      <c r="N100" s="3067">
        <v>30</v>
      </c>
      <c r="O100" s="3067">
        <v>30</v>
      </c>
      <c r="P100" s="3067">
        <f>M100+N100+O100</f>
        <v>150</v>
      </c>
      <c r="Q100" s="3136">
        <v>117.42055999999999</v>
      </c>
      <c r="R100" s="3149">
        <v>21</v>
      </c>
      <c r="S100" s="3150"/>
      <c r="T100" s="3149">
        <v>22</v>
      </c>
      <c r="U100" s="3150"/>
      <c r="V100" s="3144">
        <v>25</v>
      </c>
      <c r="W100" s="3144">
        <v>25</v>
      </c>
    </row>
    <row r="101" spans="1:28" ht="16" thickBot="1" x14ac:dyDescent="0.4">
      <c r="A101" s="3032"/>
      <c r="B101" s="3025"/>
      <c r="C101" s="3033"/>
      <c r="D101" s="1003" t="s">
        <v>723</v>
      </c>
      <c r="E101" s="1010"/>
      <c r="F101" s="1010"/>
      <c r="G101" s="1010"/>
      <c r="H101" s="1010"/>
      <c r="I101" s="1010"/>
      <c r="J101" s="1011"/>
      <c r="K101" s="3147"/>
      <c r="L101" s="3148"/>
      <c r="M101" s="3067"/>
      <c r="N101" s="3067"/>
      <c r="O101" s="3067"/>
      <c r="P101" s="3067"/>
      <c r="Q101" s="3136"/>
      <c r="R101" s="3209"/>
      <c r="S101" s="3210"/>
      <c r="T101" s="3209"/>
      <c r="U101" s="3210"/>
      <c r="V101" s="3146"/>
      <c r="W101" s="3148"/>
    </row>
    <row r="102" spans="1:28" ht="15" x14ac:dyDescent="0.3">
      <c r="A102" s="3051" t="s">
        <v>724</v>
      </c>
      <c r="B102" s="3052"/>
      <c r="C102" s="3053"/>
      <c r="D102" s="976"/>
      <c r="E102" s="977"/>
      <c r="F102" s="977"/>
      <c r="G102" s="977"/>
      <c r="H102" s="977"/>
      <c r="I102" s="977"/>
      <c r="J102" s="978"/>
      <c r="K102" s="3130">
        <f>K105+K107+K108+K111+K112+K115</f>
        <v>20390</v>
      </c>
      <c r="L102" s="3131"/>
      <c r="M102" s="3067">
        <v>8484.0619999999999</v>
      </c>
      <c r="N102" s="3067"/>
      <c r="O102" s="3067"/>
      <c r="P102" s="3067">
        <f>P105+P111+P112+P113+P115</f>
        <v>8524.0619999999999</v>
      </c>
      <c r="Q102" s="3136">
        <v>3580.9459499999998</v>
      </c>
      <c r="R102" s="3219">
        <f>R105+R111+R112+R113+R115+R106+S108+R114+R110+R109</f>
        <v>810.5</v>
      </c>
      <c r="S102" s="3220"/>
      <c r="T102" s="3219">
        <f>T105+T111+T112+T113+T115+T106+U108+T114+T110+T109</f>
        <v>818.5</v>
      </c>
      <c r="U102" s="3469"/>
      <c r="V102" s="3461">
        <f>V105+V107+V108+V111+V112+V115+V106</f>
        <v>22452.500000000004</v>
      </c>
      <c r="W102" s="3131">
        <f>W105+W107+W108+W111+W112+W115</f>
        <v>19031.2</v>
      </c>
    </row>
    <row r="103" spans="1:28" ht="15" x14ac:dyDescent="0.3">
      <c r="A103" s="3231"/>
      <c r="B103" s="3232"/>
      <c r="C103" s="3233"/>
      <c r="D103" s="999" t="s">
        <v>725</v>
      </c>
      <c r="E103" s="1000"/>
      <c r="F103" s="1000"/>
      <c r="G103" s="1000"/>
      <c r="H103" s="1000"/>
      <c r="I103" s="1000"/>
      <c r="J103" s="1001"/>
      <c r="K103" s="3132"/>
      <c r="L103" s="3133"/>
      <c r="M103" s="3067"/>
      <c r="N103" s="3067"/>
      <c r="O103" s="3067"/>
      <c r="P103" s="3067"/>
      <c r="Q103" s="3136"/>
      <c r="R103" s="3221"/>
      <c r="S103" s="3222"/>
      <c r="T103" s="3221"/>
      <c r="U103" s="3470"/>
      <c r="V103" s="3462"/>
      <c r="W103" s="3133"/>
    </row>
    <row r="104" spans="1:28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34"/>
      <c r="L104" s="3135"/>
      <c r="M104" s="1728"/>
      <c r="N104" s="1728"/>
      <c r="O104" s="1728"/>
      <c r="P104" s="1728"/>
      <c r="Q104" s="1730"/>
      <c r="R104" s="3223"/>
      <c r="S104" s="3224"/>
      <c r="T104" s="3223"/>
      <c r="U104" s="3471"/>
      <c r="V104" s="3463"/>
      <c r="W104" s="3135"/>
    </row>
    <row r="105" spans="1:28" ht="34.5" customHeight="1" thickBot="1" x14ac:dyDescent="0.4">
      <c r="A105" s="3211" t="s">
        <v>976</v>
      </c>
      <c r="B105" s="3212"/>
      <c r="C105" s="3213"/>
      <c r="D105" s="3214" t="s">
        <v>864</v>
      </c>
      <c r="E105" s="3225"/>
      <c r="F105" s="3225"/>
      <c r="G105" s="3225"/>
      <c r="H105" s="3225"/>
      <c r="I105" s="3225"/>
      <c r="J105" s="3226"/>
      <c r="K105" s="3227">
        <v>17766.7</v>
      </c>
      <c r="L105" s="3228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229"/>
      <c r="S105" s="3230"/>
      <c r="T105" s="3229"/>
      <c r="U105" s="3230"/>
      <c r="V105" s="1823">
        <v>18356</v>
      </c>
      <c r="W105" s="1737">
        <v>18974.099999999999</v>
      </c>
    </row>
    <row r="106" spans="1:28" ht="34.5" customHeight="1" thickBot="1" x14ac:dyDescent="0.4">
      <c r="A106" s="3236" t="s">
        <v>1001</v>
      </c>
      <c r="B106" s="3237"/>
      <c r="C106" s="3238"/>
      <c r="D106" s="3464" t="s">
        <v>1002</v>
      </c>
      <c r="E106" s="3465"/>
      <c r="F106" s="3465"/>
      <c r="G106" s="3465"/>
      <c r="H106" s="3465"/>
      <c r="I106" s="3465"/>
      <c r="J106" s="3466"/>
      <c r="K106" s="3467"/>
      <c r="L106" s="3468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4">
      <c r="A107" s="3236" t="s">
        <v>975</v>
      </c>
      <c r="B107" s="3237"/>
      <c r="C107" s="3238"/>
      <c r="D107" s="3214" t="s">
        <v>888</v>
      </c>
      <c r="E107" s="3215"/>
      <c r="F107" s="3215"/>
      <c r="G107" s="3215"/>
      <c r="H107" s="3215"/>
      <c r="I107" s="3215"/>
      <c r="J107" s="3216"/>
      <c r="K107" s="3266">
        <f>388.9-5.7</f>
        <v>383.2</v>
      </c>
      <c r="L107" s="3267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5" customHeight="1" thickBot="1" x14ac:dyDescent="0.4">
      <c r="A108" s="3211" t="s">
        <v>974</v>
      </c>
      <c r="B108" s="3212"/>
      <c r="C108" s="3213"/>
      <c r="D108" s="3214" t="s">
        <v>890</v>
      </c>
      <c r="E108" s="3215"/>
      <c r="F108" s="3215"/>
      <c r="G108" s="3215"/>
      <c r="H108" s="3215"/>
      <c r="I108" s="3215"/>
      <c r="J108" s="3216"/>
      <c r="K108" s="3227">
        <v>1333.1</v>
      </c>
      <c r="L108" s="3228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5" hidden="1" customHeight="1" thickBot="1" x14ac:dyDescent="0.4">
      <c r="A109" s="3211" t="s">
        <v>731</v>
      </c>
      <c r="B109" s="3212"/>
      <c r="C109" s="3213"/>
      <c r="D109" s="3239" t="s">
        <v>732</v>
      </c>
      <c r="E109" s="3240"/>
      <c r="F109" s="3240"/>
      <c r="G109" s="3240"/>
      <c r="H109" s="3240"/>
      <c r="I109" s="3240"/>
      <c r="J109" s="3241"/>
      <c r="K109" s="3242"/>
      <c r="L109" s="3243"/>
      <c r="M109" s="1728"/>
      <c r="N109" s="1728"/>
      <c r="O109" s="1728"/>
      <c r="P109" s="1728"/>
      <c r="Q109" s="1730"/>
      <c r="R109" s="3244"/>
      <c r="S109" s="3245"/>
      <c r="T109" s="3244"/>
      <c r="U109" s="3245"/>
      <c r="V109" s="1738"/>
      <c r="W109" s="1738"/>
      <c r="X109" s="1791"/>
      <c r="Y109" s="1790"/>
      <c r="Z109" s="1790"/>
    </row>
    <row r="110" spans="1:28" ht="60.65" hidden="1" customHeight="1" thickBot="1" x14ac:dyDescent="0.4">
      <c r="A110" s="3211" t="s">
        <v>733</v>
      </c>
      <c r="B110" s="3212"/>
      <c r="C110" s="3213"/>
      <c r="D110" s="3246" t="s">
        <v>734</v>
      </c>
      <c r="E110" s="3247"/>
      <c r="F110" s="3247"/>
      <c r="G110" s="3247"/>
      <c r="H110" s="3247"/>
      <c r="I110" s="3247"/>
      <c r="J110" s="3248"/>
      <c r="K110" s="3242"/>
      <c r="L110" s="3243"/>
      <c r="M110" s="1728"/>
      <c r="N110" s="1728"/>
      <c r="O110" s="1728"/>
      <c r="P110" s="1728"/>
      <c r="Q110" s="1730"/>
      <c r="R110" s="3244"/>
      <c r="S110" s="3245"/>
      <c r="T110" s="3244"/>
      <c r="U110" s="3245"/>
      <c r="V110" s="1738"/>
      <c r="W110" s="1738"/>
      <c r="X110" s="1791"/>
      <c r="Y110" s="1790"/>
      <c r="Z110" s="1790"/>
    </row>
    <row r="111" spans="1:28" ht="36.75" customHeight="1" thickBot="1" x14ac:dyDescent="0.4">
      <c r="A111" s="3211" t="s">
        <v>973</v>
      </c>
      <c r="B111" s="3212"/>
      <c r="C111" s="3213"/>
      <c r="D111" s="3214" t="s">
        <v>736</v>
      </c>
      <c r="E111" s="3225"/>
      <c r="F111" s="3225"/>
      <c r="G111" s="3225"/>
      <c r="H111" s="3225"/>
      <c r="I111" s="3225"/>
      <c r="J111" s="3226"/>
      <c r="K111" s="3242">
        <v>844.2</v>
      </c>
      <c r="L111" s="3243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244"/>
      <c r="S111" s="3245"/>
      <c r="T111" s="3244"/>
      <c r="U111" s="3245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4">
      <c r="A112" s="3211" t="s">
        <v>972</v>
      </c>
      <c r="B112" s="3212"/>
      <c r="C112" s="3213"/>
      <c r="D112" s="3214" t="s">
        <v>889</v>
      </c>
      <c r="E112" s="3225"/>
      <c r="F112" s="3225"/>
      <c r="G112" s="3225"/>
      <c r="H112" s="3225"/>
      <c r="I112" s="3225"/>
      <c r="J112" s="3226"/>
      <c r="K112" s="3242">
        <f>7.1-0.06</f>
        <v>7.04</v>
      </c>
      <c r="L112" s="3243"/>
      <c r="M112" s="1728">
        <v>10</v>
      </c>
      <c r="N112" s="1728"/>
      <c r="O112" s="1728"/>
      <c r="P112" s="1728">
        <v>10</v>
      </c>
      <c r="Q112" s="1730">
        <v>10</v>
      </c>
      <c r="R112" s="3244">
        <v>598.5</v>
      </c>
      <c r="S112" s="3245"/>
      <c r="T112" s="3244">
        <v>598.5</v>
      </c>
      <c r="U112" s="3245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4">
      <c r="A113" s="3211" t="s">
        <v>738</v>
      </c>
      <c r="B113" s="3212"/>
      <c r="C113" s="3213"/>
      <c r="D113" s="3214" t="s">
        <v>739</v>
      </c>
      <c r="E113" s="3225"/>
      <c r="F113" s="3225"/>
      <c r="G113" s="3225"/>
      <c r="H113" s="3225"/>
      <c r="I113" s="3225"/>
      <c r="J113" s="3226"/>
      <c r="K113" s="3242"/>
      <c r="L113" s="3243"/>
      <c r="M113" s="1728">
        <v>613</v>
      </c>
      <c r="N113" s="1728"/>
      <c r="O113" s="1728"/>
      <c r="P113" s="1728">
        <v>613</v>
      </c>
      <c r="Q113" s="1730">
        <v>613</v>
      </c>
      <c r="R113" s="3244"/>
      <c r="S113" s="3245"/>
      <c r="T113" s="3244"/>
      <c r="U113" s="3245"/>
      <c r="V113" s="1738"/>
      <c r="W113" s="1738"/>
    </row>
    <row r="114" spans="1:26" ht="58.9" hidden="1" customHeight="1" thickBot="1" x14ac:dyDescent="0.4">
      <c r="A114" s="3211" t="s">
        <v>740</v>
      </c>
      <c r="B114" s="3212"/>
      <c r="C114" s="3213"/>
      <c r="D114" s="3214" t="s">
        <v>741</v>
      </c>
      <c r="E114" s="3225"/>
      <c r="F114" s="3225"/>
      <c r="G114" s="3225"/>
      <c r="H114" s="3225"/>
      <c r="I114" s="3225"/>
      <c r="J114" s="3226"/>
      <c r="K114" s="3253"/>
      <c r="L114" s="3254"/>
      <c r="M114" s="1728"/>
      <c r="N114" s="1728"/>
      <c r="O114" s="1728"/>
      <c r="P114" s="1728"/>
      <c r="Q114" s="1730"/>
      <c r="R114" s="3255"/>
      <c r="S114" s="3256"/>
      <c r="T114" s="3255"/>
      <c r="U114" s="3256"/>
      <c r="V114" s="1740"/>
      <c r="W114" s="1740"/>
    </row>
    <row r="115" spans="1:26" ht="34.5" customHeight="1" thickBot="1" x14ac:dyDescent="0.4">
      <c r="A115" s="3211" t="s">
        <v>971</v>
      </c>
      <c r="B115" s="3212"/>
      <c r="C115" s="3213"/>
      <c r="D115" s="3257" t="s">
        <v>743</v>
      </c>
      <c r="E115" s="3258"/>
      <c r="F115" s="3258"/>
      <c r="G115" s="3258"/>
      <c r="H115" s="3258"/>
      <c r="I115" s="3258"/>
      <c r="J115" s="3259"/>
      <c r="K115" s="3227">
        <f>50+0.06+5.7</f>
        <v>55.760000000000005</v>
      </c>
      <c r="L115" s="3228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260">
        <v>212</v>
      </c>
      <c r="S115" s="3261"/>
      <c r="T115" s="3260">
        <v>220</v>
      </c>
      <c r="U115" s="3261"/>
      <c r="V115" s="1737">
        <f>50+0.06</f>
        <v>50.06</v>
      </c>
      <c r="W115" s="1737">
        <f>50+0.06</f>
        <v>50.06</v>
      </c>
    </row>
    <row r="116" spans="1:26" ht="12.75" customHeight="1" x14ac:dyDescent="0.35">
      <c r="A116" s="3051" t="s">
        <v>744</v>
      </c>
      <c r="B116" s="3052"/>
      <c r="C116" s="3053"/>
      <c r="D116" s="982"/>
      <c r="E116" s="983"/>
      <c r="F116" s="983"/>
      <c r="G116" s="983"/>
      <c r="H116" s="983"/>
      <c r="I116" s="983"/>
      <c r="J116" s="984"/>
      <c r="K116" s="3130">
        <f>K102+K32</f>
        <v>96512.440999999992</v>
      </c>
      <c r="L116" s="3131"/>
      <c r="M116" s="3067">
        <v>25719.42</v>
      </c>
      <c r="N116" s="3067"/>
      <c r="O116" s="3067"/>
      <c r="P116" s="3161">
        <f>P32+P102</f>
        <v>33106.455999999998</v>
      </c>
      <c r="Q116" s="3067"/>
      <c r="R116" s="3219">
        <f>R32+R102</f>
        <v>74406.700000000012</v>
      </c>
      <c r="S116" s="3220"/>
      <c r="T116" s="3219">
        <f>T32+T102</f>
        <v>76479.200000000012</v>
      </c>
      <c r="U116" s="3220"/>
      <c r="V116" s="3131">
        <f>V102+V32</f>
        <v>100309.36500000001</v>
      </c>
      <c r="W116" s="3131">
        <f>W102+W32</f>
        <v>98590.785999999993</v>
      </c>
    </row>
    <row r="117" spans="1:26" ht="16.5" customHeight="1" thickBot="1" x14ac:dyDescent="0.4">
      <c r="A117" s="3054"/>
      <c r="B117" s="3055"/>
      <c r="C117" s="3056"/>
      <c r="D117" s="979"/>
      <c r="E117" s="980"/>
      <c r="F117" s="980"/>
      <c r="G117" s="986"/>
      <c r="H117" s="986"/>
      <c r="I117" s="986"/>
      <c r="J117" s="987"/>
      <c r="K117" s="3134"/>
      <c r="L117" s="3135"/>
      <c r="M117" s="3473"/>
      <c r="N117" s="3473"/>
      <c r="O117" s="3473"/>
      <c r="P117" s="3472"/>
      <c r="Q117" s="3473"/>
      <c r="R117" s="3223"/>
      <c r="S117" s="3224"/>
      <c r="T117" s="3223"/>
      <c r="U117" s="3224"/>
      <c r="V117" s="3135"/>
      <c r="W117" s="3135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4">
        <v>356.3</v>
      </c>
      <c r="Y119" s="1704">
        <v>356.3</v>
      </c>
      <c r="Z119" s="1704">
        <v>356.3</v>
      </c>
    </row>
    <row r="120" spans="1:26" x14ac:dyDescent="0.35">
      <c r="X120" s="1704">
        <v>106.9</v>
      </c>
      <c r="Y120" s="1704">
        <v>88.4</v>
      </c>
      <c r="Z120" s="1704">
        <v>874.4</v>
      </c>
    </row>
    <row r="121" spans="1:26" x14ac:dyDescent="0.35">
      <c r="X121" s="1704">
        <v>-648.9</v>
      </c>
      <c r="Y121" s="1704">
        <v>-648.9</v>
      </c>
      <c r="Z121" s="1704">
        <v>-648.9</v>
      </c>
    </row>
    <row r="122" spans="1:26" x14ac:dyDescent="0.3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06"/>
  <sheetViews>
    <sheetView topLeftCell="A625" zoomScale="85" zoomScaleNormal="85" zoomScaleSheetLayoutView="90" zoomScalePageLayoutView="51" workbookViewId="0">
      <selection activeCell="N637" sqref="N637"/>
    </sheetView>
  </sheetViews>
  <sheetFormatPr defaultColWidth="9.1796875" defaultRowHeight="12.5" x14ac:dyDescent="0.25"/>
  <cols>
    <col min="1" max="1" width="8.81640625" style="1" customWidth="1"/>
    <col min="2" max="2" width="65.179687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4.179687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2460" customWidth="1"/>
    <col min="15" max="18" width="22.1796875" style="1906" hidden="1" customWidth="1"/>
    <col min="19" max="21" width="10.26953125" style="2" hidden="1" customWidth="1"/>
    <col min="22" max="22" width="22.1796875" style="2460" customWidth="1"/>
    <col min="23" max="23" width="22.1796875" style="2502" customWidth="1"/>
    <col min="24" max="24" width="18.81640625" style="2" hidden="1" customWidth="1"/>
    <col min="25" max="25" width="14.81640625" style="1" hidden="1" customWidth="1"/>
    <col min="26" max="26" width="17.7265625" style="237" hidden="1" customWidth="1"/>
    <col min="27" max="27" width="29.453125" style="1" customWidth="1"/>
    <col min="28" max="28" width="15.1796875" style="1" customWidth="1"/>
    <col min="29" max="16384" width="9.1796875" style="1"/>
  </cols>
  <sheetData>
    <row r="1" spans="1:256" ht="15.5" x14ac:dyDescent="0.35">
      <c r="V1" s="3474" t="s">
        <v>625</v>
      </c>
      <c r="W1" s="3474"/>
    </row>
    <row r="2" spans="1:256" ht="15.5" x14ac:dyDescent="0.35">
      <c r="V2" s="3474" t="s">
        <v>450</v>
      </c>
      <c r="W2" s="3474"/>
    </row>
    <row r="3" spans="1:256" ht="15.5" x14ac:dyDescent="0.35">
      <c r="V3" s="3474" t="s">
        <v>449</v>
      </c>
      <c r="W3" s="3474"/>
    </row>
    <row r="4" spans="1:256" ht="15.5" x14ac:dyDescent="0.35">
      <c r="V4" s="3474" t="s">
        <v>448</v>
      </c>
      <c r="W4" s="3474"/>
    </row>
    <row r="5" spans="1:256" ht="15.5" x14ac:dyDescent="0.35">
      <c r="V5" s="3474" t="s">
        <v>1378</v>
      </c>
      <c r="W5" s="3474"/>
    </row>
    <row r="6" spans="1:256" ht="14.15" customHeight="1" x14ac:dyDescent="0.3">
      <c r="V6" s="2960"/>
      <c r="W6" s="2497"/>
    </row>
    <row r="7" spans="1:256" s="2" customFormat="1" ht="15.5" x14ac:dyDescent="0.35">
      <c r="A7" s="1"/>
      <c r="B7" s="6"/>
      <c r="C7" s="5"/>
      <c r="D7" s="4"/>
      <c r="E7" s="4"/>
      <c r="F7" s="4"/>
      <c r="G7" s="4"/>
      <c r="H7" s="4"/>
      <c r="I7" s="4"/>
      <c r="J7" s="2977"/>
      <c r="K7" s="2977"/>
      <c r="L7" s="2977"/>
      <c r="M7" s="2977"/>
      <c r="N7" s="2461"/>
      <c r="O7" s="2982"/>
      <c r="P7" s="1909"/>
      <c r="Q7" s="2982"/>
      <c r="R7" s="2982" t="s">
        <v>936</v>
      </c>
      <c r="S7" s="4"/>
      <c r="T7" s="4"/>
      <c r="U7" s="4"/>
      <c r="V7" s="2461"/>
      <c r="W7" s="2498" t="s">
        <v>1140</v>
      </c>
      <c r="X7" s="1825"/>
      <c r="Y7" s="1825"/>
      <c r="Z7" s="1825"/>
      <c r="AA7" s="1825"/>
      <c r="AB7" s="1825"/>
      <c r="AC7" s="2267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x14ac:dyDescent="0.35">
      <c r="A8" s="1"/>
      <c r="B8" s="6"/>
      <c r="C8" s="5"/>
      <c r="D8" s="4"/>
      <c r="E8" s="4"/>
      <c r="F8" s="4"/>
      <c r="G8" s="4"/>
      <c r="H8" s="4"/>
      <c r="I8" s="3023"/>
      <c r="J8" s="3023"/>
      <c r="K8" s="3023"/>
      <c r="L8" s="3023"/>
      <c r="M8" s="3023"/>
      <c r="N8" s="3023"/>
      <c r="O8" s="1910"/>
      <c r="P8" s="1909"/>
      <c r="Q8" s="3476" t="s">
        <v>450</v>
      </c>
      <c r="R8" s="3476"/>
      <c r="S8" s="4"/>
      <c r="T8" s="4"/>
      <c r="V8" s="2961"/>
      <c r="W8" s="2498" t="s">
        <v>450</v>
      </c>
      <c r="X8" s="1825"/>
      <c r="Y8" s="1825"/>
      <c r="Z8" s="1825"/>
      <c r="AA8" s="1825"/>
      <c r="AB8" s="1825"/>
      <c r="AC8" s="2267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x14ac:dyDescent="0.35">
      <c r="A9" s="1"/>
      <c r="B9" s="6"/>
      <c r="C9" s="261"/>
      <c r="D9" s="261"/>
      <c r="E9" s="261"/>
      <c r="F9" s="3023"/>
      <c r="G9" s="3023"/>
      <c r="H9" s="3023"/>
      <c r="I9" s="3023"/>
      <c r="J9" s="3023"/>
      <c r="K9" s="3023"/>
      <c r="L9" s="3023"/>
      <c r="M9" s="3023"/>
      <c r="N9" s="3023"/>
      <c r="O9" s="1909"/>
      <c r="P9" s="1909"/>
      <c r="Q9" s="3476" t="s">
        <v>449</v>
      </c>
      <c r="R9" s="3476"/>
      <c r="S9" s="1539"/>
      <c r="T9" s="1539"/>
      <c r="U9" s="1539"/>
      <c r="V9" s="2961"/>
      <c r="W9" s="2498" t="s">
        <v>449</v>
      </c>
      <c r="X9" s="1825"/>
      <c r="Y9" s="1825"/>
      <c r="Z9" s="1825"/>
      <c r="AA9" s="1825"/>
      <c r="AB9" s="1825"/>
      <c r="AC9" s="2267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 x14ac:dyDescent="0.35">
      <c r="A10" s="1"/>
      <c r="B10" s="6"/>
      <c r="C10" s="5"/>
      <c r="D10" s="2977"/>
      <c r="E10" s="2977"/>
      <c r="F10" s="2977"/>
      <c r="G10" s="2977"/>
      <c r="H10" s="2977"/>
      <c r="I10" s="2977"/>
      <c r="J10" s="2977"/>
      <c r="K10" s="1045"/>
      <c r="L10" s="1045"/>
      <c r="M10" s="2977"/>
      <c r="N10" s="2462"/>
      <c r="O10" s="1912"/>
      <c r="P10" s="1909"/>
      <c r="Q10" s="3476" t="s">
        <v>448</v>
      </c>
      <c r="R10" s="3476"/>
      <c r="S10" s="2977"/>
      <c r="T10" s="2977"/>
      <c r="U10" s="2977"/>
      <c r="V10" s="2462"/>
      <c r="W10" s="2498" t="s">
        <v>448</v>
      </c>
      <c r="X10" s="1825"/>
      <c r="Y10" s="1825"/>
      <c r="Z10" s="1825"/>
      <c r="AA10" s="1825"/>
      <c r="AB10" s="1825"/>
      <c r="AC10" s="2267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 x14ac:dyDescent="0.25">
      <c r="A11" s="1"/>
      <c r="B11" s="6"/>
      <c r="C11" s="5"/>
      <c r="D11" s="1824" t="s">
        <v>447</v>
      </c>
      <c r="E11" s="1824"/>
      <c r="F11" s="1824"/>
      <c r="G11" s="3284"/>
      <c r="H11" s="3284"/>
      <c r="I11" s="3284"/>
      <c r="J11" s="3284"/>
      <c r="K11" s="3284"/>
      <c r="L11" s="3284"/>
      <c r="M11" s="3284"/>
      <c r="N11" s="3284"/>
      <c r="O11" s="1913"/>
      <c r="P11" s="1913"/>
      <c r="Q11" s="3475" t="s">
        <v>991</v>
      </c>
      <c r="R11" s="3475"/>
      <c r="S11" s="2978"/>
      <c r="T11" s="2978"/>
      <c r="U11" s="1824"/>
      <c r="V11" s="2962"/>
      <c r="W11" s="2496" t="str">
        <f>'прил2 дох 2022-2024..'!$K$22</f>
        <v xml:space="preserve">    от  "22" декабря  2021 года № 247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5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2463"/>
      <c r="O12" s="1915"/>
      <c r="P12" s="1915"/>
      <c r="Q12" s="1916"/>
      <c r="R12" s="1916"/>
      <c r="S12" s="4"/>
      <c r="T12" s="4"/>
      <c r="U12" s="1045"/>
      <c r="V12" s="2463"/>
      <c r="W12" s="2499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5" hidden="1" customHeight="1" x14ac:dyDescent="0.35">
      <c r="A13" s="1"/>
      <c r="B13" s="2978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2462" t="s">
        <v>446</v>
      </c>
      <c r="O13" s="2981"/>
      <c r="P13" s="2981"/>
      <c r="Q13" s="2981" t="s">
        <v>446</v>
      </c>
      <c r="R13" s="2981" t="s">
        <v>446</v>
      </c>
      <c r="S13" s="254"/>
      <c r="T13" s="254"/>
      <c r="U13" s="2978"/>
      <c r="V13" s="2462" t="s">
        <v>446</v>
      </c>
      <c r="W13" s="2500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hidden="1" customHeight="1" x14ac:dyDescent="0.3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2463"/>
      <c r="O14" s="1915"/>
      <c r="P14" s="1915"/>
      <c r="Q14" s="1916"/>
      <c r="R14" s="1916"/>
      <c r="S14" s="254"/>
      <c r="T14" s="254"/>
      <c r="U14" s="384"/>
      <c r="V14" s="2463"/>
      <c r="W14" s="2499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hidden="1" customHeight="1" x14ac:dyDescent="0.35">
      <c r="A15" s="1"/>
      <c r="B15" s="2978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2462" t="s">
        <v>848</v>
      </c>
      <c r="O15" s="2981"/>
      <c r="P15" s="2981"/>
      <c r="Q15" s="2981" t="s">
        <v>848</v>
      </c>
      <c r="R15" s="2981" t="s">
        <v>848</v>
      </c>
      <c r="S15" s="254"/>
      <c r="T15" s="254"/>
      <c r="U15" s="2978"/>
      <c r="V15" s="2462" t="s">
        <v>848</v>
      </c>
      <c r="W15" s="2500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hidden="1" customHeight="1" x14ac:dyDescent="0.3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2464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2464">
        <v>69983.100000000006</v>
      </c>
      <c r="W16" s="2501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7" ht="12.75" customHeight="1" x14ac:dyDescent="0.3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2464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2464">
        <f>V16-V26</f>
        <v>0</v>
      </c>
      <c r="W17" s="2501">
        <f>W16-W26</f>
        <v>0</v>
      </c>
    </row>
    <row r="18" spans="1:27" ht="18.75" customHeight="1" x14ac:dyDescent="0.3">
      <c r="B18" s="3480"/>
      <c r="C18" s="3480"/>
      <c r="D18" s="3480"/>
      <c r="E18" s="3480"/>
      <c r="F18" s="3480"/>
      <c r="G18" s="3480"/>
      <c r="H18" s="3480"/>
      <c r="I18" s="3480"/>
      <c r="J18" s="3480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7" ht="15.65" customHeight="1" x14ac:dyDescent="0.3">
      <c r="A19" s="3481" t="s">
        <v>441</v>
      </c>
      <c r="B19" s="3481"/>
      <c r="C19" s="3481"/>
      <c r="D19" s="3481"/>
      <c r="E19" s="3481"/>
      <c r="F19" s="3481"/>
      <c r="G19" s="3481"/>
      <c r="H19" s="3481"/>
      <c r="I19" s="3481"/>
      <c r="J19" s="3481"/>
      <c r="K19" s="3481"/>
      <c r="L19" s="3481"/>
      <c r="M19" s="3481"/>
      <c r="N19" s="3481"/>
      <c r="O19" s="3481"/>
      <c r="P19" s="3481"/>
      <c r="Q19" s="3481"/>
      <c r="R19" s="3481"/>
      <c r="V19" s="2963"/>
      <c r="W19" s="2503"/>
    </row>
    <row r="20" spans="1:27" ht="17.5" customHeight="1" x14ac:dyDescent="0.3">
      <c r="A20" s="3482" t="s">
        <v>440</v>
      </c>
      <c r="B20" s="3482"/>
      <c r="C20" s="3482"/>
      <c r="D20" s="3482"/>
      <c r="E20" s="3482"/>
      <c r="F20" s="3482"/>
      <c r="G20" s="3482"/>
      <c r="H20" s="3482"/>
      <c r="I20" s="3482"/>
      <c r="J20" s="3482"/>
      <c r="K20" s="3482"/>
      <c r="L20" s="3482"/>
      <c r="M20" s="3482"/>
      <c r="N20" s="3482"/>
      <c r="O20" s="3482"/>
      <c r="P20" s="3482"/>
      <c r="Q20" s="3482"/>
      <c r="R20" s="3482"/>
      <c r="V20" s="2963"/>
      <c r="W20" s="2503"/>
    </row>
    <row r="21" spans="1:27" ht="15" customHeight="1" x14ac:dyDescent="0.3">
      <c r="A21" s="3481" t="s">
        <v>439</v>
      </c>
      <c r="B21" s="3481"/>
      <c r="C21" s="3481"/>
      <c r="D21" s="3481"/>
      <c r="E21" s="3481"/>
      <c r="F21" s="3481"/>
      <c r="G21" s="3481"/>
      <c r="H21" s="3481"/>
      <c r="I21" s="3481"/>
      <c r="J21" s="3481"/>
      <c r="K21" s="3481"/>
      <c r="L21" s="3481"/>
      <c r="M21" s="3481"/>
      <c r="N21" s="3481"/>
      <c r="O21" s="3481"/>
      <c r="P21" s="3481"/>
      <c r="Q21" s="3481"/>
      <c r="R21" s="3481"/>
      <c r="V21" s="2963"/>
      <c r="W21" s="2503"/>
      <c r="AA21" s="2447"/>
    </row>
    <row r="22" spans="1:27" ht="13.5" customHeight="1" x14ac:dyDescent="0.3">
      <c r="A22" s="3481" t="s">
        <v>438</v>
      </c>
      <c r="B22" s="3481"/>
      <c r="C22" s="3481"/>
      <c r="D22" s="3481"/>
      <c r="E22" s="3481"/>
      <c r="F22" s="3481"/>
      <c r="G22" s="3481"/>
      <c r="H22" s="3481"/>
      <c r="I22" s="3481"/>
      <c r="J22" s="3481"/>
      <c r="K22" s="3481"/>
      <c r="L22" s="3481"/>
      <c r="M22" s="3481"/>
      <c r="N22" s="3481"/>
      <c r="O22" s="3481"/>
      <c r="P22" s="3481"/>
      <c r="Q22" s="3481"/>
      <c r="R22" s="3481"/>
      <c r="V22" s="2963"/>
      <c r="W22" s="2503"/>
      <c r="AA22" s="2447"/>
    </row>
    <row r="23" spans="1:27" ht="16.149999999999999" customHeight="1" x14ac:dyDescent="0.3">
      <c r="A23" s="3481" t="s">
        <v>1224</v>
      </c>
      <c r="B23" s="3481"/>
      <c r="C23" s="3481"/>
      <c r="D23" s="3481"/>
      <c r="E23" s="3481"/>
      <c r="F23" s="3481"/>
      <c r="G23" s="3481"/>
      <c r="H23" s="3481"/>
      <c r="I23" s="3481"/>
      <c r="J23" s="3481"/>
      <c r="K23" s="3481"/>
      <c r="L23" s="3481"/>
      <c r="M23" s="3481"/>
      <c r="N23" s="3481"/>
      <c r="O23" s="3481"/>
      <c r="P23" s="3481"/>
      <c r="Q23" s="3481"/>
      <c r="R23" s="3481"/>
      <c r="V23" s="2963"/>
      <c r="W23" s="2503"/>
    </row>
    <row r="24" spans="1:27" ht="16" thickBot="1" x14ac:dyDescent="0.4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2465"/>
      <c r="O24" s="1924" t="s">
        <v>437</v>
      </c>
      <c r="P24" s="1924" t="s">
        <v>437</v>
      </c>
      <c r="Q24" s="1924"/>
      <c r="R24" s="1924" t="s">
        <v>829</v>
      </c>
      <c r="V24" s="2465"/>
      <c r="W24" s="2504"/>
    </row>
    <row r="25" spans="1:27" ht="65.5" hidden="1" thickBot="1" x14ac:dyDescent="0.3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246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2466" t="s">
        <v>319</v>
      </c>
      <c r="W25" s="2505" t="s">
        <v>319</v>
      </c>
    </row>
    <row r="26" spans="1:27" s="83" customFormat="1" ht="15.5" hidden="1" thickBot="1" x14ac:dyDescent="0.3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2467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2467">
        <f t="shared" ref="V26:W26" si="1">V27+V70+V75+V89+V111+V150+V158+V172+V179</f>
        <v>69983.100000000006</v>
      </c>
      <c r="W26" s="2506">
        <f t="shared" si="1"/>
        <v>69983.100000000006</v>
      </c>
      <c r="X26" s="84"/>
      <c r="Z26" s="2141"/>
    </row>
    <row r="27" spans="1:27" s="83" customFormat="1" ht="14.5" hidden="1" thickBot="1" x14ac:dyDescent="0.3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2468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2468">
        <f t="shared" ref="V27:W27" si="3">V31+V36+V54+V61+V66</f>
        <v>16206.808000000001</v>
      </c>
      <c r="W27" s="2507">
        <f t="shared" si="3"/>
        <v>16206.808000000001</v>
      </c>
      <c r="X27" s="84"/>
      <c r="Z27" s="2141"/>
    </row>
    <row r="28" spans="1:27" s="83" customFormat="1" ht="26.5" hidden="1" thickBot="1" x14ac:dyDescent="0.3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2469"/>
      <c r="O28" s="1934"/>
      <c r="P28" s="1934"/>
      <c r="Q28" s="1934"/>
      <c r="R28" s="1934"/>
      <c r="S28" s="84"/>
      <c r="T28" s="84"/>
      <c r="U28" s="84"/>
      <c r="V28" s="2469"/>
      <c r="W28" s="2508"/>
      <c r="X28" s="84"/>
      <c r="Z28" s="2141"/>
    </row>
    <row r="29" spans="1:27" s="83" customFormat="1" ht="39.5" hidden="1" thickBot="1" x14ac:dyDescent="0.3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2469"/>
      <c r="O29" s="1934"/>
      <c r="P29" s="1934"/>
      <c r="Q29" s="1934"/>
      <c r="R29" s="1934"/>
      <c r="S29" s="84"/>
      <c r="T29" s="84"/>
      <c r="U29" s="84"/>
      <c r="V29" s="2469"/>
      <c r="W29" s="2508"/>
      <c r="X29" s="84"/>
      <c r="Z29" s="2141"/>
    </row>
    <row r="30" spans="1:27" s="83" customFormat="1" ht="25.5" hidden="1" customHeight="1" x14ac:dyDescent="0.3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2469"/>
      <c r="O30" s="1934"/>
      <c r="P30" s="1934"/>
      <c r="Q30" s="1934"/>
      <c r="R30" s="1934"/>
      <c r="S30" s="84"/>
      <c r="T30" s="84"/>
      <c r="U30" s="84"/>
      <c r="V30" s="2469"/>
      <c r="W30" s="2508"/>
      <c r="X30" s="84"/>
      <c r="Z30" s="2141"/>
    </row>
    <row r="31" spans="1:27" s="83" customFormat="1" ht="39.5" hidden="1" thickBot="1" x14ac:dyDescent="0.3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2469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2469">
        <f t="shared" ref="V31:W32" si="5">V32</f>
        <v>2155.7860000000001</v>
      </c>
      <c r="W31" s="2508">
        <f t="shared" si="5"/>
        <v>2155.7860000000001</v>
      </c>
      <c r="X31" s="84"/>
      <c r="Z31" s="2141"/>
    </row>
    <row r="32" spans="1:27" s="83" customFormat="1" ht="39.5" hidden="1" thickBot="1" x14ac:dyDescent="0.3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2469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2469">
        <f t="shared" si="5"/>
        <v>2155.7860000000001</v>
      </c>
      <c r="W32" s="2508">
        <f t="shared" si="5"/>
        <v>2155.7860000000001</v>
      </c>
      <c r="X32" s="84"/>
      <c r="Z32" s="2141"/>
    </row>
    <row r="33" spans="1:256" s="83" customFormat="1" ht="22.15" hidden="1" customHeight="1" x14ac:dyDescent="0.3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2469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2469">
        <f t="shared" ref="V33:W33" si="7">V34+V35</f>
        <v>2155.7860000000001</v>
      </c>
      <c r="W33" s="2508">
        <f t="shared" si="7"/>
        <v>2155.7860000000001</v>
      </c>
      <c r="X33" s="84"/>
      <c r="Z33" s="2141"/>
    </row>
    <row r="34" spans="1:256" s="83" customFormat="1" ht="16.149999999999999" hidden="1" customHeight="1" x14ac:dyDescent="0.3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2470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2470">
        <v>1300.211</v>
      </c>
      <c r="W34" s="2509">
        <v>1300.211</v>
      </c>
      <c r="X34" s="84"/>
      <c r="Z34" s="2141"/>
    </row>
    <row r="35" spans="1:256" s="83" customFormat="1" ht="18.649999999999999" hidden="1" customHeight="1" x14ac:dyDescent="0.3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2470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2470">
        <v>855.57500000000005</v>
      </c>
      <c r="W35" s="2509">
        <v>855.57500000000005</v>
      </c>
      <c r="X35" s="84"/>
      <c r="Z35" s="2141"/>
    </row>
    <row r="36" spans="1:256" ht="39.5" hidden="1" thickBot="1" x14ac:dyDescent="0.3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2471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2471">
        <f t="shared" ref="V36:W36" si="9">V37</f>
        <v>11843.717000000001</v>
      </c>
      <c r="W36" s="2510">
        <f t="shared" si="9"/>
        <v>11843.717000000001</v>
      </c>
    </row>
    <row r="37" spans="1:256" ht="42.75" hidden="1" customHeight="1" x14ac:dyDescent="0.25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2471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2471">
        <f t="shared" ref="V37:W37" si="11">V38+V41+V43+V45+V48+V51</f>
        <v>11843.717000000001</v>
      </c>
      <c r="W37" s="2510">
        <f t="shared" si="11"/>
        <v>11843.717000000001</v>
      </c>
    </row>
    <row r="38" spans="1:256" ht="21" hidden="1" customHeight="1" x14ac:dyDescent="0.25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2472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2472">
        <f t="shared" ref="V38:W38" si="13">V39+V40</f>
        <v>9577.5059999999994</v>
      </c>
      <c r="W38" s="2511">
        <f t="shared" si="13"/>
        <v>9577.5059999999994</v>
      </c>
    </row>
    <row r="39" spans="1:256" s="2" customFormat="1" ht="21" hidden="1" customHeight="1" x14ac:dyDescent="0.3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2472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2472">
        <v>7361.933</v>
      </c>
      <c r="W39" s="2511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3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2472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2472">
        <v>2215.5729999999999</v>
      </c>
      <c r="W40" s="2511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5" hidden="1" thickBot="1" x14ac:dyDescent="0.3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2470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2470">
        <f t="shared" ref="V41:W41" si="15">V42</f>
        <v>1154.6110000000001</v>
      </c>
      <c r="W41" s="2509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3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2470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2470">
        <v>1154.6110000000001</v>
      </c>
      <c r="W42" s="2509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5" hidden="1" thickBot="1" x14ac:dyDescent="0.3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2471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2471">
        <f t="shared" ref="V43:W43" si="17">V44</f>
        <v>171.8</v>
      </c>
      <c r="W43" s="2510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3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2472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2472">
        <v>171.8</v>
      </c>
      <c r="W44" s="2511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5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2471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2471">
        <f t="shared" ref="V45:W45" si="19">V47</f>
        <v>263</v>
      </c>
      <c r="W45" s="2510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5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2470"/>
      <c r="O46" s="1937"/>
      <c r="P46" s="1937"/>
      <c r="Q46" s="1937"/>
      <c r="R46" s="1937"/>
      <c r="V46" s="2470"/>
      <c r="W46" s="2509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3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2470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2470">
        <v>263</v>
      </c>
      <c r="W47" s="2509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5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2469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2469">
        <f t="shared" ref="V48:W48" si="21">V49</f>
        <v>130.1</v>
      </c>
      <c r="W48" s="2508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3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2470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2470">
        <v>130.1</v>
      </c>
      <c r="W49" s="2509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5" hidden="1" customHeight="1" x14ac:dyDescent="0.25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2470"/>
      <c r="O50" s="1937"/>
      <c r="P50" s="1937"/>
      <c r="Q50" s="1937"/>
      <c r="R50" s="1937"/>
      <c r="V50" s="2470"/>
      <c r="W50" s="2509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39.5" hidden="1" thickBot="1" x14ac:dyDescent="0.3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2469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2469">
        <f t="shared" ref="V51:W51" si="23">V52+V53</f>
        <v>546.70000000000005</v>
      </c>
      <c r="W51" s="2508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3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2470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2470">
        <f t="shared" ref="V52:W52" si="25">546.7-45.2</f>
        <v>501.50000000000006</v>
      </c>
      <c r="W52" s="2509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3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2470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2470">
        <v>45.2</v>
      </c>
      <c r="W53" s="2509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5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2471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2471">
        <f t="shared" ref="V54:W56" si="27">V55</f>
        <v>99.305000000000007</v>
      </c>
      <c r="W54" s="2510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.5" hidden="1" thickBot="1" x14ac:dyDescent="0.3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2471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2471">
        <f t="shared" si="27"/>
        <v>99.305000000000007</v>
      </c>
      <c r="W55" s="2510">
        <f t="shared" si="27"/>
        <v>99.305000000000007</v>
      </c>
    </row>
    <row r="56" spans="1:256" ht="45.75" hidden="1" customHeight="1" x14ac:dyDescent="0.25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2470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2470">
        <f t="shared" si="27"/>
        <v>99.305000000000007</v>
      </c>
      <c r="W56" s="2509">
        <f t="shared" si="27"/>
        <v>99.305000000000007</v>
      </c>
    </row>
    <row r="57" spans="1:256" ht="13.9" hidden="1" customHeight="1" x14ac:dyDescent="0.3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2470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2470">
        <v>99.305000000000007</v>
      </c>
      <c r="W57" s="2509">
        <v>99.305000000000007</v>
      </c>
    </row>
    <row r="58" spans="1:256" ht="14.5" hidden="1" thickBot="1" x14ac:dyDescent="0.3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2470"/>
      <c r="O58" s="1937"/>
      <c r="P58" s="1937"/>
      <c r="Q58" s="1937"/>
      <c r="R58" s="1937"/>
      <c r="V58" s="2470"/>
      <c r="W58" s="2509"/>
    </row>
    <row r="59" spans="1:256" ht="39.5" hidden="1" thickBot="1" x14ac:dyDescent="0.3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2470"/>
      <c r="O59" s="1937"/>
      <c r="P59" s="1937"/>
      <c r="Q59" s="1937"/>
      <c r="R59" s="1937"/>
      <c r="V59" s="2470"/>
      <c r="W59" s="2509"/>
    </row>
    <row r="60" spans="1:256" ht="14.5" hidden="1" thickBot="1" x14ac:dyDescent="0.3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2470"/>
      <c r="O60" s="1937"/>
      <c r="P60" s="1937"/>
      <c r="Q60" s="1937"/>
      <c r="R60" s="1937"/>
      <c r="V60" s="2470"/>
      <c r="W60" s="2509"/>
    </row>
    <row r="61" spans="1:256" ht="13.5" hidden="1" thickBot="1" x14ac:dyDescent="0.3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2471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2471">
        <f t="shared" ref="V61:W63" si="29">V62</f>
        <v>2000</v>
      </c>
      <c r="W61" s="2510">
        <f t="shared" si="29"/>
        <v>2000</v>
      </c>
    </row>
    <row r="62" spans="1:256" s="83" customFormat="1" ht="39.5" hidden="1" thickBot="1" x14ac:dyDescent="0.3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2472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2472">
        <f t="shared" si="29"/>
        <v>2000</v>
      </c>
      <c r="W62" s="2511">
        <f t="shared" si="29"/>
        <v>2000</v>
      </c>
      <c r="X62" s="84"/>
      <c r="Z62" s="2141"/>
    </row>
    <row r="63" spans="1:256" ht="26.5" hidden="1" thickBot="1" x14ac:dyDescent="0.3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2472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2472">
        <f t="shared" si="29"/>
        <v>2000</v>
      </c>
      <c r="W63" s="2511">
        <f t="shared" si="29"/>
        <v>2000</v>
      </c>
    </row>
    <row r="64" spans="1:256" ht="13.5" hidden="1" thickBot="1" x14ac:dyDescent="0.3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2472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2472">
        <v>2000</v>
      </c>
      <c r="W64" s="2511">
        <v>2000</v>
      </c>
    </row>
    <row r="65" spans="1:256" s="2" customFormat="1" ht="13.5" hidden="1" thickBot="1" x14ac:dyDescent="0.3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2469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2469">
        <f t="shared" ref="V65:W66" si="31">V66</f>
        <v>108</v>
      </c>
      <c r="W65" s="2508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2471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2471">
        <f t="shared" si="31"/>
        <v>108</v>
      </c>
      <c r="W66" s="2510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2472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2472">
        <f t="shared" ref="V67:W67" si="33">V68+V69</f>
        <v>108</v>
      </c>
      <c r="W67" s="2511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2472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2472">
        <v>105</v>
      </c>
      <c r="W68" s="2511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3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2472">
        <v>3</v>
      </c>
      <c r="O69" s="1941">
        <v>3</v>
      </c>
      <c r="P69" s="1941">
        <v>3</v>
      </c>
      <c r="Q69" s="1941">
        <v>3</v>
      </c>
      <c r="R69" s="1941">
        <v>3</v>
      </c>
      <c r="V69" s="2472">
        <v>3</v>
      </c>
      <c r="W69" s="2511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4.5" hidden="1" thickBot="1" x14ac:dyDescent="0.3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2473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2473">
        <f t="shared" ref="V70:W71" si="35">V71</f>
        <v>605.88300000000004</v>
      </c>
      <c r="W70" s="251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3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2472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2472">
        <f t="shared" si="35"/>
        <v>605.88300000000004</v>
      </c>
      <c r="W71" s="2511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5" hidden="1" thickBot="1" x14ac:dyDescent="0.3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2472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2472">
        <f t="shared" ref="V72:W72" si="37">V73+V74</f>
        <v>605.88300000000004</v>
      </c>
      <c r="W72" s="2511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3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2472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2472">
        <v>555.32000000000005</v>
      </c>
      <c r="W73" s="2511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2472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2472">
        <v>50.563000000000002</v>
      </c>
      <c r="W74" s="2511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5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2473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2473">
        <f t="shared" ref="V75:W76" si="39">V76</f>
        <v>1397</v>
      </c>
      <c r="W75" s="251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5" hidden="1" thickBot="1" x14ac:dyDescent="0.3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2472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2472">
        <f t="shared" si="39"/>
        <v>1397</v>
      </c>
      <c r="W76" s="2511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5" hidden="1" customHeight="1" x14ac:dyDescent="0.25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2471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2471">
        <f t="shared" ref="V77:W77" si="41">V78+V83</f>
        <v>1397</v>
      </c>
      <c r="W77" s="2510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1.5" hidden="1" thickBot="1" x14ac:dyDescent="0.3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2472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2472">
        <f t="shared" ref="V78:W78" si="43">V79+V81</f>
        <v>711</v>
      </c>
      <c r="W78" s="2511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8.5" hidden="1" thickBot="1" x14ac:dyDescent="0.3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2472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2472">
        <f t="shared" ref="V79:W79" si="45">V80</f>
        <v>426</v>
      </c>
      <c r="W79" s="2511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3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2472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2472">
        <v>426</v>
      </c>
      <c r="W80" s="2511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5.5" hidden="1" thickBot="1" x14ac:dyDescent="0.3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2472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2472">
        <f t="shared" ref="V81:W81" si="47">V82</f>
        <v>285</v>
      </c>
      <c r="W81" s="2511">
        <f t="shared" si="47"/>
        <v>285</v>
      </c>
    </row>
    <row r="82" spans="2:26" ht="13.5" hidden="1" thickBot="1" x14ac:dyDescent="0.3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2472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2472">
        <v>285</v>
      </c>
      <c r="W82" s="2511">
        <v>285</v>
      </c>
    </row>
    <row r="83" spans="2:26" ht="78.5" hidden="1" thickBot="1" x14ac:dyDescent="0.3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2471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2471">
        <f t="shared" ref="V83:W83" si="49">V84</f>
        <v>686</v>
      </c>
      <c r="W83" s="2510">
        <f t="shared" si="49"/>
        <v>686</v>
      </c>
    </row>
    <row r="84" spans="2:26" ht="104.5" hidden="1" thickBot="1" x14ac:dyDescent="0.3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2472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2472">
        <f t="shared" ref="V84:W84" si="51">V86</f>
        <v>686</v>
      </c>
      <c r="W84" s="2511">
        <f t="shared" si="51"/>
        <v>686</v>
      </c>
    </row>
    <row r="85" spans="2:26" ht="40.5" hidden="1" customHeight="1" x14ac:dyDescent="0.25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2474"/>
      <c r="O85" s="1947"/>
      <c r="P85" s="1947"/>
      <c r="Q85" s="1947"/>
      <c r="R85" s="1947"/>
      <c r="V85" s="2474"/>
      <c r="W85" s="2513"/>
    </row>
    <row r="86" spans="2:26" ht="17.5" hidden="1" customHeight="1" x14ac:dyDescent="0.3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2472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2472">
        <v>686</v>
      </c>
      <c r="W86" s="2511">
        <v>686</v>
      </c>
    </row>
    <row r="87" spans="2:26" ht="44.25" hidden="1" customHeight="1" x14ac:dyDescent="0.25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2471"/>
      <c r="O87" s="1944"/>
      <c r="P87" s="1944"/>
      <c r="Q87" s="1945"/>
      <c r="R87" s="1945"/>
      <c r="V87" s="2471"/>
      <c r="W87" s="2510"/>
    </row>
    <row r="88" spans="2:26" ht="39.5" hidden="1" thickBot="1" x14ac:dyDescent="0.3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2472"/>
      <c r="O88" s="1941"/>
      <c r="P88" s="1941"/>
      <c r="Q88" s="1941"/>
      <c r="R88" s="1941"/>
      <c r="V88" s="2472"/>
      <c r="W88" s="2511"/>
    </row>
    <row r="89" spans="2:26" s="83" customFormat="1" ht="14.5" hidden="1" thickBot="1" x14ac:dyDescent="0.3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2475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2475">
        <f t="shared" ref="V89:W89" si="53">V90+V99</f>
        <v>18097.09</v>
      </c>
      <c r="W89" s="2514">
        <f t="shared" si="53"/>
        <v>18097.09</v>
      </c>
      <c r="X89" s="84"/>
      <c r="Z89" s="2141"/>
    </row>
    <row r="90" spans="2:26" s="83" customFormat="1" ht="13.5" hidden="1" thickBot="1" x14ac:dyDescent="0.3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2471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2471">
        <f t="shared" ref="V90:W90" si="55">V91</f>
        <v>17447.29</v>
      </c>
      <c r="W90" s="2510">
        <f t="shared" si="55"/>
        <v>17447.29</v>
      </c>
      <c r="X90" s="84"/>
      <c r="Z90" s="2141"/>
    </row>
    <row r="91" spans="2:26" s="83" customFormat="1" ht="38.25" hidden="1" customHeight="1" x14ac:dyDescent="0.3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2471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2471">
        <f t="shared" ref="V91:W91" si="57">V92+V96</f>
        <v>17447.29</v>
      </c>
      <c r="W91" s="2510">
        <f t="shared" si="57"/>
        <v>17447.29</v>
      </c>
      <c r="X91" s="84"/>
      <c r="Z91" s="2141"/>
    </row>
    <row r="92" spans="2:26" s="83" customFormat="1" ht="65.5" hidden="1" thickBot="1" x14ac:dyDescent="0.3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2471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2471">
        <f t="shared" ref="V92:W93" si="59">V93</f>
        <v>16806.29</v>
      </c>
      <c r="W92" s="2510">
        <f t="shared" si="59"/>
        <v>16806.29</v>
      </c>
      <c r="X92" s="84"/>
      <c r="Z92" s="2141"/>
    </row>
    <row r="93" spans="2:26" s="83" customFormat="1" ht="65.5" hidden="1" thickBot="1" x14ac:dyDescent="0.3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2472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2472">
        <f t="shared" si="59"/>
        <v>16806.29</v>
      </c>
      <c r="W93" s="2511">
        <f t="shared" si="59"/>
        <v>16806.29</v>
      </c>
      <c r="X93" s="84"/>
      <c r="Z93" s="2141"/>
    </row>
    <row r="94" spans="2:26" s="83" customFormat="1" ht="13.5" hidden="1" thickBot="1" x14ac:dyDescent="0.3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2472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2472">
        <f>7156.753+13430-3780.463</f>
        <v>16806.29</v>
      </c>
      <c r="W94" s="2511">
        <f>7156.753+13430-3780.463</f>
        <v>16806.29</v>
      </c>
      <c r="X94" s="84"/>
      <c r="Z94" s="2141"/>
    </row>
    <row r="95" spans="2:26" s="83" customFormat="1" ht="52.5" hidden="1" thickBot="1" x14ac:dyDescent="0.3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2472"/>
      <c r="O95" s="1941"/>
      <c r="P95" s="1941"/>
      <c r="Q95" s="1941"/>
      <c r="R95" s="1941"/>
      <c r="S95" s="84"/>
      <c r="T95" s="84"/>
      <c r="U95" s="84"/>
      <c r="V95" s="2472"/>
      <c r="W95" s="2511"/>
      <c r="X95" s="84"/>
      <c r="Z95" s="2141"/>
    </row>
    <row r="96" spans="2:26" s="83" customFormat="1" ht="52.5" hidden="1" thickBot="1" x14ac:dyDescent="0.3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2471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2471">
        <f t="shared" ref="V96:W97" si="61">V97</f>
        <v>641</v>
      </c>
      <c r="W96" s="2510">
        <f t="shared" si="61"/>
        <v>641</v>
      </c>
      <c r="X96" s="84"/>
      <c r="Z96" s="2141"/>
    </row>
    <row r="97" spans="2:26" s="83" customFormat="1" ht="65.5" hidden="1" thickBot="1" x14ac:dyDescent="0.3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2472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2472">
        <f t="shared" si="61"/>
        <v>641</v>
      </c>
      <c r="W97" s="2511">
        <f t="shared" si="61"/>
        <v>641</v>
      </c>
      <c r="X97" s="84"/>
      <c r="Z97" s="2141"/>
    </row>
    <row r="98" spans="2:26" s="83" customFormat="1" ht="13.5" hidden="1" thickBot="1" x14ac:dyDescent="0.3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2472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2472">
        <v>641</v>
      </c>
      <c r="W98" s="2511">
        <v>641</v>
      </c>
      <c r="X98" s="84"/>
      <c r="Z98" s="2141"/>
    </row>
    <row r="99" spans="2:26" s="83" customFormat="1" ht="13.5" hidden="1" thickBot="1" x14ac:dyDescent="0.3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2471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2471">
        <f t="shared" ref="V99:W99" si="63">V100+V104</f>
        <v>649.79999999999995</v>
      </c>
      <c r="W99" s="2510">
        <f t="shared" si="63"/>
        <v>649.79999999999995</v>
      </c>
      <c r="X99" s="84"/>
      <c r="Z99" s="2141"/>
    </row>
    <row r="100" spans="2:26" s="83" customFormat="1" ht="51.75" hidden="1" customHeight="1" x14ac:dyDescent="0.3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2471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2471">
        <f t="shared" ref="V100:W100" si="65">V102</f>
        <v>300</v>
      </c>
      <c r="W100" s="2510">
        <f t="shared" si="65"/>
        <v>300</v>
      </c>
      <c r="X100" s="84"/>
      <c r="Z100" s="2141"/>
    </row>
    <row r="101" spans="2:26" s="83" customFormat="1" ht="78" hidden="1" customHeight="1" x14ac:dyDescent="0.3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2471"/>
      <c r="O101" s="1939"/>
      <c r="P101" s="1939"/>
      <c r="Q101" s="1939"/>
      <c r="R101" s="1939"/>
      <c r="S101" s="84"/>
      <c r="T101" s="84"/>
      <c r="U101" s="84"/>
      <c r="V101" s="2471"/>
      <c r="W101" s="2510"/>
      <c r="X101" s="84"/>
      <c r="Z101" s="2141"/>
    </row>
    <row r="102" spans="2:26" s="83" customFormat="1" ht="98.5" hidden="1" thickBot="1" x14ac:dyDescent="0.35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2471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2471">
        <f t="shared" ref="V102:W102" si="67">V103</f>
        <v>300</v>
      </c>
      <c r="W102" s="2510">
        <f t="shared" si="67"/>
        <v>300</v>
      </c>
      <c r="X102" s="84"/>
      <c r="Z102" s="2141"/>
    </row>
    <row r="103" spans="2:26" s="83" customFormat="1" ht="13.5" hidden="1" thickBot="1" x14ac:dyDescent="0.3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2472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2472">
        <v>300</v>
      </c>
      <c r="W103" s="2511">
        <v>300</v>
      </c>
      <c r="X103" s="84"/>
      <c r="Z103" s="2141"/>
    </row>
    <row r="104" spans="2:26" s="83" customFormat="1" ht="39.5" hidden="1" thickBot="1" x14ac:dyDescent="0.3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2471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2471">
        <f t="shared" ref="V104:W104" si="69">V105+V107+V109</f>
        <v>349.8</v>
      </c>
      <c r="W104" s="2510">
        <f t="shared" si="69"/>
        <v>349.8</v>
      </c>
      <c r="X104" s="84"/>
      <c r="Z104" s="2141"/>
    </row>
    <row r="105" spans="2:26" s="83" customFormat="1" ht="13.5" hidden="1" thickBot="1" x14ac:dyDescent="0.3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2471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2471">
        <f t="shared" ref="V105:W105" si="71">V106</f>
        <v>195</v>
      </c>
      <c r="W105" s="2510">
        <f t="shared" si="71"/>
        <v>195</v>
      </c>
      <c r="X105" s="84"/>
      <c r="Z105" s="2141"/>
    </row>
    <row r="106" spans="2:26" s="83" customFormat="1" ht="13.5" hidden="1" thickBot="1" x14ac:dyDescent="0.3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2472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2472">
        <v>195</v>
      </c>
      <c r="W106" s="2511">
        <v>195</v>
      </c>
      <c r="X106" s="84"/>
      <c r="Z106" s="2141"/>
    </row>
    <row r="107" spans="2:26" s="83" customFormat="1" ht="13.5" hidden="1" thickBot="1" x14ac:dyDescent="0.3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2471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2471">
        <f t="shared" ref="V107:W107" si="73">V108</f>
        <v>64.8</v>
      </c>
      <c r="W107" s="2510">
        <f t="shared" si="73"/>
        <v>64.8</v>
      </c>
      <c r="X107" s="84"/>
      <c r="Z107" s="2141"/>
    </row>
    <row r="108" spans="2:26" s="83" customFormat="1" ht="13.5" hidden="1" thickBot="1" x14ac:dyDescent="0.3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2472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2472">
        <v>64.8</v>
      </c>
      <c r="W108" s="2511">
        <v>64.8</v>
      </c>
      <c r="X108" s="84"/>
      <c r="Z108" s="2141"/>
    </row>
    <row r="109" spans="2:26" s="83" customFormat="1" ht="13.5" hidden="1" thickBot="1" x14ac:dyDescent="0.3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2471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2471">
        <f t="shared" ref="V109:W109" si="75">V110</f>
        <v>90</v>
      </c>
      <c r="W109" s="2510">
        <f t="shared" si="75"/>
        <v>90</v>
      </c>
      <c r="X109" s="84"/>
      <c r="Z109" s="2141"/>
    </row>
    <row r="110" spans="2:26" s="83" customFormat="1" ht="13.5" hidden="1" thickBot="1" x14ac:dyDescent="0.3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2472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2472">
        <v>90</v>
      </c>
      <c r="W110" s="2511">
        <v>90</v>
      </c>
      <c r="X110" s="84"/>
      <c r="Z110" s="2141"/>
    </row>
    <row r="111" spans="2:26" s="83" customFormat="1" ht="14.5" hidden="1" thickBot="1" x14ac:dyDescent="0.3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2473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2473">
        <f t="shared" ref="V111:W111" si="77">V112+V123+V136+V145</f>
        <v>22021.318999999996</v>
      </c>
      <c r="W111" s="2512">
        <f t="shared" si="77"/>
        <v>22021.318999999996</v>
      </c>
      <c r="X111" s="84"/>
      <c r="Z111" s="2141"/>
    </row>
    <row r="112" spans="2:26" ht="13.5" hidden="1" thickBot="1" x14ac:dyDescent="0.3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2472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2472">
        <f t="shared" ref="V112:W112" si="79">V113+V118</f>
        <v>9048</v>
      </c>
      <c r="W112" s="2511">
        <f t="shared" si="79"/>
        <v>9048</v>
      </c>
    </row>
    <row r="113" spans="1:256" s="2" customFormat="1" ht="53.5" hidden="1" customHeight="1" x14ac:dyDescent="0.25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2471"/>
      <c r="O113" s="1944"/>
      <c r="P113" s="1944"/>
      <c r="Q113" s="1945"/>
      <c r="R113" s="1945"/>
      <c r="V113" s="2471"/>
      <c r="W113" s="2510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2.5" hidden="1" thickBot="1" x14ac:dyDescent="0.3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2469"/>
      <c r="O114" s="1934"/>
      <c r="P114" s="1934"/>
      <c r="Q114" s="1934"/>
      <c r="R114" s="1934"/>
      <c r="V114" s="2469"/>
      <c r="W114" s="2508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650000000000006" hidden="1" customHeight="1" x14ac:dyDescent="0.3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2469"/>
      <c r="O115" s="1934"/>
      <c r="P115" s="1934"/>
      <c r="Q115" s="1934"/>
      <c r="R115" s="1934"/>
      <c r="V115" s="2469"/>
      <c r="W115" s="2508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3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2471"/>
      <c r="O116" s="1939"/>
      <c r="P116" s="1939"/>
      <c r="Q116" s="1939"/>
      <c r="R116" s="1939"/>
      <c r="V116" s="2471"/>
      <c r="W116" s="2510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2.5" hidden="1" thickBot="1" x14ac:dyDescent="0.3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2471"/>
      <c r="O117" s="1939"/>
      <c r="P117" s="1939"/>
      <c r="Q117" s="1939"/>
      <c r="R117" s="1939"/>
      <c r="V117" s="2471"/>
      <c r="W117" s="2510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5" hidden="1" customHeight="1" x14ac:dyDescent="0.25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2472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2472">
        <f t="shared" ref="V118:W118" si="81">V119+V121</f>
        <v>9048</v>
      </c>
      <c r="W118" s="2511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3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2472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2472">
        <f t="shared" ref="V119:W119" si="83">V120</f>
        <v>420</v>
      </c>
      <c r="W119" s="2511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3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2476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2476">
        <v>420</v>
      </c>
      <c r="W120" s="2515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5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2476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2476">
        <f t="shared" ref="V121:W121" si="85">V122</f>
        <v>8628</v>
      </c>
      <c r="W121" s="2515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3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2477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2477">
        <v>8628</v>
      </c>
      <c r="W122" s="2516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3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2471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2471">
        <f t="shared" ref="V123:W123" si="87">V124+V131</f>
        <v>1214.55</v>
      </c>
      <c r="W123" s="2510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5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2478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2478">
        <f t="shared" ref="V124:W125" si="89">V125</f>
        <v>1129.55</v>
      </c>
      <c r="W124" s="251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8.5" hidden="1" thickBot="1" x14ac:dyDescent="0.3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2471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2471">
        <f t="shared" si="89"/>
        <v>1129.55</v>
      </c>
      <c r="W125" s="2510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5" hidden="1" thickBot="1" x14ac:dyDescent="0.3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2472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2472">
        <v>1129.55</v>
      </c>
      <c r="W126" s="2511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2.5" hidden="1" thickBot="1" x14ac:dyDescent="0.3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2471"/>
      <c r="O127" s="1939"/>
      <c r="P127" s="1939"/>
      <c r="Q127" s="1939"/>
      <c r="R127" s="1939"/>
      <c r="V127" s="2471"/>
      <c r="W127" s="2510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5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2471"/>
      <c r="O128" s="1944"/>
      <c r="P128" s="1944"/>
      <c r="Q128" s="1945"/>
      <c r="R128" s="1945"/>
      <c r="V128" s="2471"/>
      <c r="W128" s="2510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5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2471"/>
      <c r="O129" s="1939"/>
      <c r="P129" s="1939"/>
      <c r="Q129" s="1939"/>
      <c r="R129" s="1939"/>
      <c r="V129" s="2471"/>
      <c r="W129" s="2510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5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2471"/>
      <c r="O130" s="1939"/>
      <c r="P130" s="1939"/>
      <c r="Q130" s="1939"/>
      <c r="R130" s="1939"/>
      <c r="V130" s="2471"/>
      <c r="W130" s="2510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5" hidden="1" customHeight="1" x14ac:dyDescent="0.25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2471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2471">
        <f t="shared" ref="V131:W131" si="91">V132</f>
        <v>85</v>
      </c>
      <c r="W131" s="2510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5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2472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2472">
        <f t="shared" ref="V132:W132" si="93">V135</f>
        <v>85</v>
      </c>
      <c r="W132" s="2511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5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3483" t="s">
        <v>20</v>
      </c>
      <c r="H133" s="3484"/>
      <c r="I133" s="3484"/>
      <c r="J133" s="3485"/>
      <c r="K133" s="41"/>
      <c r="L133" s="1"/>
      <c r="M133" s="1"/>
      <c r="N133" s="2460"/>
      <c r="O133" s="1921"/>
      <c r="P133" s="1921"/>
      <c r="Q133" s="1922"/>
      <c r="R133" s="1922"/>
      <c r="V133" s="2460"/>
      <c r="W133" s="2502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5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3477" t="s">
        <v>17</v>
      </c>
      <c r="H134" s="3478"/>
      <c r="I134" s="3478"/>
      <c r="J134" s="3479"/>
      <c r="K134" s="41"/>
      <c r="L134" s="1"/>
      <c r="M134" s="1"/>
      <c r="N134" s="2460"/>
      <c r="O134" s="1921"/>
      <c r="P134" s="1921"/>
      <c r="Q134" s="1922"/>
      <c r="R134" s="1922"/>
      <c r="V134" s="2460"/>
      <c r="W134" s="2502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3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2479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2479">
        <v>85</v>
      </c>
      <c r="W135" s="2518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5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2471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2471">
        <f t="shared" ref="V136:W136" si="95">V137+V140</f>
        <v>11758.768999999998</v>
      </c>
      <c r="W136" s="2510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5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2471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2471">
        <f t="shared" ref="V137:W138" si="97">V138</f>
        <v>2275.0059999999999</v>
      </c>
      <c r="W137" s="2510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5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2471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2471">
        <f t="shared" si="97"/>
        <v>2275.0059999999999</v>
      </c>
      <c r="W138" s="2510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5" hidden="1" customHeight="1" x14ac:dyDescent="0.3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2471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2471">
        <v>2275.0059999999999</v>
      </c>
      <c r="W139" s="2510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5" hidden="1" customHeight="1" x14ac:dyDescent="0.25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2471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2471">
        <f t="shared" ref="V140:W140" si="99">V141+V143</f>
        <v>9483.762999999999</v>
      </c>
      <c r="W140" s="2510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8.5" hidden="1" thickBot="1" x14ac:dyDescent="0.3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2471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2471">
        <f t="shared" ref="V141:W141" si="101">V142</f>
        <v>5353.7750000000005</v>
      </c>
      <c r="W141" s="2510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3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2472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2472">
        <f>5356.1-4835.3+2500.3+2332.675</f>
        <v>5353.7750000000005</v>
      </c>
      <c r="W142" s="2511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5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2471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2471">
        <f t="shared" ref="V143:W143" si="103">V144</f>
        <v>4129.9879999999994</v>
      </c>
      <c r="W143" s="2510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49999999999999" hidden="1" customHeight="1" x14ac:dyDescent="0.3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2471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2471">
        <f>2142.2+1447.788+540</f>
        <v>4129.9879999999994</v>
      </c>
      <c r="W144" s="2510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5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2471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2471">
        <f t="shared" ref="V145:W148" si="105">V146</f>
        <v>0</v>
      </c>
      <c r="W145" s="2510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.5" hidden="1" thickBot="1" x14ac:dyDescent="0.3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2471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2471">
        <f t="shared" si="105"/>
        <v>0</v>
      </c>
      <c r="W146" s="2510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5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2472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2472">
        <f t="shared" si="105"/>
        <v>0</v>
      </c>
      <c r="W147" s="2511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3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2472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2472">
        <f t="shared" si="105"/>
        <v>0</v>
      </c>
      <c r="W148" s="2511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3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2472"/>
      <c r="O149" s="1963"/>
      <c r="P149" s="1963"/>
      <c r="Q149" s="1941"/>
      <c r="R149" s="1941"/>
      <c r="V149" s="2472"/>
      <c r="W149" s="2511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4.5" hidden="1" thickBot="1" x14ac:dyDescent="0.3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2468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2468">
        <f t="shared" ref="V150:W152" si="107">V151</f>
        <v>160</v>
      </c>
      <c r="W150" s="2507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3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2470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2470">
        <f t="shared" si="107"/>
        <v>160</v>
      </c>
      <c r="W151" s="2509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5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2471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2471">
        <f t="shared" si="107"/>
        <v>160</v>
      </c>
      <c r="W152" s="2510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5.5" hidden="1" thickBot="1" x14ac:dyDescent="0.3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2470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2470">
        <f t="shared" ref="V153:W153" si="109">V156</f>
        <v>160</v>
      </c>
      <c r="W153" s="2509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5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2470"/>
      <c r="O154" s="1937"/>
      <c r="P154" s="1937"/>
      <c r="Q154" s="1937"/>
      <c r="R154" s="1937"/>
      <c r="V154" s="2470"/>
      <c r="W154" s="2509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3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2470"/>
      <c r="O155" s="1937"/>
      <c r="P155" s="1937"/>
      <c r="Q155" s="1937"/>
      <c r="R155" s="1937"/>
      <c r="V155" s="2470"/>
      <c r="W155" s="2509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5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2470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2470">
        <f t="shared" ref="V156:W156" si="111">V157</f>
        <v>160</v>
      </c>
      <c r="W156" s="2509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3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2470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2470">
        <v>160</v>
      </c>
      <c r="W157" s="2509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4.5" hidden="1" thickBot="1" x14ac:dyDescent="0.3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2468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2468">
        <f t="shared" ref="V158:W158" si="113">V159+V166</f>
        <v>7152.5</v>
      </c>
      <c r="W158" s="2507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3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2469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2469">
        <f t="shared" ref="V159:W161" si="115">V160</f>
        <v>5947</v>
      </c>
      <c r="W159" s="2508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5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2471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2471">
        <f t="shared" si="115"/>
        <v>5947</v>
      </c>
      <c r="W160" s="2510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5" hidden="1" customHeight="1" x14ac:dyDescent="0.25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2470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2470">
        <f t="shared" si="115"/>
        <v>5947</v>
      </c>
      <c r="W161" s="2509">
        <f t="shared" si="115"/>
        <v>5947</v>
      </c>
    </row>
    <row r="162" spans="2:26" ht="78.5" hidden="1" thickBot="1" x14ac:dyDescent="0.3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2470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2470">
        <f t="shared" ref="V162:W162" si="117">V163+V164+V165</f>
        <v>5947</v>
      </c>
      <c r="W162" s="2509">
        <f t="shared" si="117"/>
        <v>5947</v>
      </c>
    </row>
    <row r="163" spans="2:26" ht="13.5" hidden="1" thickBot="1" x14ac:dyDescent="0.3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2470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2470">
        <v>4171.2870000000003</v>
      </c>
      <c r="W163" s="2509">
        <v>4171.2870000000003</v>
      </c>
    </row>
    <row r="164" spans="2:26" ht="13.5" hidden="1" thickBot="1" x14ac:dyDescent="0.3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2470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2470">
        <f>1775.713-0.713</f>
        <v>1775</v>
      </c>
      <c r="W164" s="2509">
        <f>1775.713-0.713</f>
        <v>1775</v>
      </c>
    </row>
    <row r="165" spans="2:26" ht="13.5" hidden="1" thickBot="1" x14ac:dyDescent="0.3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2470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2470">
        <v>0.71299999999999997</v>
      </c>
      <c r="W165" s="2509">
        <v>0.71299999999999997</v>
      </c>
    </row>
    <row r="166" spans="2:26" ht="30.75" hidden="1" customHeight="1" x14ac:dyDescent="0.25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2469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2469">
        <f t="shared" ref="V166:W169" si="119">V167</f>
        <v>1205.5</v>
      </c>
      <c r="W166" s="2508">
        <f t="shared" si="119"/>
        <v>1205.5</v>
      </c>
    </row>
    <row r="167" spans="2:26" ht="39.65" hidden="1" customHeight="1" x14ac:dyDescent="0.25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2471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2471">
        <f t="shared" si="119"/>
        <v>1205.5</v>
      </c>
      <c r="W167" s="2510">
        <f t="shared" si="119"/>
        <v>1205.5</v>
      </c>
    </row>
    <row r="168" spans="2:26" ht="85.9" hidden="1" customHeight="1" x14ac:dyDescent="0.25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2470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2470">
        <f t="shared" si="119"/>
        <v>1205.5</v>
      </c>
      <c r="W168" s="2509">
        <f t="shared" si="119"/>
        <v>1205.5</v>
      </c>
    </row>
    <row r="169" spans="2:26" ht="78.5" hidden="1" thickBot="1" x14ac:dyDescent="0.3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2470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2470">
        <f t="shared" si="119"/>
        <v>1205.5</v>
      </c>
      <c r="W169" s="2509">
        <f t="shared" si="119"/>
        <v>1205.5</v>
      </c>
    </row>
    <row r="170" spans="2:26" ht="13.5" hidden="1" thickBot="1" x14ac:dyDescent="0.3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2470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2470">
        <v>1205.5</v>
      </c>
      <c r="W170" s="2509">
        <v>1205.5</v>
      </c>
    </row>
    <row r="171" spans="2:26" s="162" customFormat="1" ht="52.5" hidden="1" thickBot="1" x14ac:dyDescent="0.35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2470"/>
      <c r="O171" s="1937"/>
      <c r="P171" s="1937"/>
      <c r="Q171" s="1937"/>
      <c r="R171" s="1937"/>
      <c r="S171" s="163"/>
      <c r="T171" s="163"/>
      <c r="U171" s="163"/>
      <c r="V171" s="2470"/>
      <c r="W171" s="2509"/>
      <c r="X171" s="163"/>
      <c r="Z171" s="2142"/>
    </row>
    <row r="172" spans="2:26" ht="14.5" hidden="1" thickBot="1" x14ac:dyDescent="0.3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2473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2473">
        <f t="shared" ref="V172:W172" si="121">V173+V176</f>
        <v>412.5</v>
      </c>
      <c r="W172" s="2512">
        <f t="shared" si="121"/>
        <v>412.5</v>
      </c>
    </row>
    <row r="173" spans="2:26" ht="13.5" hidden="1" thickBot="1" x14ac:dyDescent="0.3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2471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2471">
        <f t="shared" ref="V173:W174" si="123">V174</f>
        <v>240.5</v>
      </c>
      <c r="W173" s="2510">
        <f t="shared" si="123"/>
        <v>240.5</v>
      </c>
    </row>
    <row r="174" spans="2:26" ht="21" hidden="1" customHeight="1" x14ac:dyDescent="0.25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2472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2472">
        <f t="shared" si="123"/>
        <v>240.5</v>
      </c>
      <c r="W174" s="2511">
        <f t="shared" si="123"/>
        <v>240.5</v>
      </c>
    </row>
    <row r="175" spans="2:26" ht="21" hidden="1" customHeight="1" x14ac:dyDescent="0.3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2472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2472">
        <v>240.5</v>
      </c>
      <c r="W175" s="2511">
        <v>240.5</v>
      </c>
    </row>
    <row r="176" spans="2:26" ht="13.5" hidden="1" thickBot="1" x14ac:dyDescent="0.3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2471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2471">
        <f t="shared" ref="V176:W177" si="125">V177</f>
        <v>172</v>
      </c>
      <c r="W176" s="2510">
        <f t="shared" si="125"/>
        <v>172</v>
      </c>
    </row>
    <row r="177" spans="1:256" s="2" customFormat="1" ht="21" hidden="1" customHeight="1" x14ac:dyDescent="0.25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2472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2472">
        <f t="shared" si="125"/>
        <v>172</v>
      </c>
      <c r="W177" s="2511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3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2472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2472">
        <v>172</v>
      </c>
      <c r="W178" s="2511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4.5" hidden="1" thickBot="1" x14ac:dyDescent="0.3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2473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2473">
        <f t="shared" ref="V179:W179" si="127">V181</f>
        <v>3930</v>
      </c>
      <c r="W179" s="251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5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2472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2472">
        <f t="shared" ref="V180:W180" si="129">V181</f>
        <v>3930</v>
      </c>
      <c r="W180" s="2511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5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2474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2474">
        <f t="shared" ref="V181:W181" si="131">V184+V188</f>
        <v>3930</v>
      </c>
      <c r="W181" s="2513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2.5" hidden="1" thickBot="1" x14ac:dyDescent="0.3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2472"/>
      <c r="O182" s="1941"/>
      <c r="P182" s="1941"/>
      <c r="Q182" s="1941"/>
      <c r="R182" s="1941"/>
      <c r="V182" s="2472"/>
      <c r="W182" s="2511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 thickBot="1" x14ac:dyDescent="0.3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2472"/>
      <c r="O183" s="1941"/>
      <c r="P183" s="1941"/>
      <c r="Q183" s="1941"/>
      <c r="R183" s="1941"/>
      <c r="V183" s="2472"/>
      <c r="W183" s="2511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8.5" hidden="1" thickBot="1" x14ac:dyDescent="0.3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2469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2469">
        <f t="shared" ref="V184:W185" si="133">V185</f>
        <v>3600</v>
      </c>
      <c r="W184" s="2508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5" hidden="1" customHeight="1" x14ac:dyDescent="0.25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2472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2472">
        <f t="shared" si="133"/>
        <v>3600</v>
      </c>
      <c r="W185" s="2511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3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2472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2472">
        <v>3600</v>
      </c>
      <c r="W186" s="2511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2.5" hidden="1" thickBot="1" x14ac:dyDescent="0.3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2472"/>
      <c r="O187" s="1941"/>
      <c r="P187" s="1941"/>
      <c r="Q187" s="1941"/>
      <c r="R187" s="1941"/>
      <c r="V187" s="2472"/>
      <c r="W187" s="2511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8.5" hidden="1" thickBot="1" x14ac:dyDescent="0.3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2471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2471">
        <f t="shared" ref="V188:W188" si="135">V189</f>
        <v>330</v>
      </c>
      <c r="W188" s="2510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5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2472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2472">
        <f>V190</f>
        <v>330</v>
      </c>
      <c r="W189" s="2511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3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2472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2472">
        <v>330</v>
      </c>
      <c r="W190" s="2511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2460"/>
      <c r="O191" s="1906"/>
      <c r="P191" s="1906"/>
      <c r="Q191" s="1906"/>
      <c r="R191" s="1906"/>
      <c r="V191" s="2460"/>
      <c r="W191" s="2502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460"/>
      <c r="O192" s="1906"/>
      <c r="P192" s="1906"/>
      <c r="Q192" s="1906"/>
      <c r="R192" s="1906"/>
      <c r="V192" s="2460"/>
      <c r="W192" s="2502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460"/>
      <c r="O193" s="1906"/>
      <c r="P193" s="1906"/>
      <c r="Q193" s="1906"/>
      <c r="R193" s="1906"/>
      <c r="V193" s="2460"/>
      <c r="W193" s="2502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5" x14ac:dyDescent="0.25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2480" t="s">
        <v>997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2480" t="s">
        <v>1198</v>
      </c>
      <c r="W194" s="2519" t="s">
        <v>1225</v>
      </c>
      <c r="X194" s="2082">
        <f>X195-N195</f>
        <v>-57587.64834</v>
      </c>
      <c r="Y194" s="2240">
        <f>Y195-V195</f>
        <v>-6086.7679999999964</v>
      </c>
      <c r="Z194" s="237">
        <f>Z195-W195</f>
        <v>-4852.6010000000097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" x14ac:dyDescent="0.25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J196+J541</f>
        <v>72325.900000000009</v>
      </c>
      <c r="K195" s="1083"/>
      <c r="L195" s="1084">
        <f t="shared" ref="L195:R195" si="136">L196+L541</f>
        <v>70391</v>
      </c>
      <c r="M195" s="1548">
        <f t="shared" si="136"/>
        <v>70022.100000000006</v>
      </c>
      <c r="N195" s="2481">
        <f t="shared" si="136"/>
        <v>164590.70134</v>
      </c>
      <c r="O195" s="2441">
        <f t="shared" si="136"/>
        <v>81370.399999999994</v>
      </c>
      <c r="P195" s="2442">
        <f t="shared" si="136"/>
        <v>81851.72</v>
      </c>
      <c r="Q195" s="2443">
        <f t="shared" si="136"/>
        <v>103130.82699999999</v>
      </c>
      <c r="R195" s="2444">
        <f t="shared" si="136"/>
        <v>105615.43000000001</v>
      </c>
      <c r="S195" s="1972"/>
      <c r="T195" s="1972"/>
      <c r="U195" s="1972"/>
      <c r="V195" s="2481">
        <f>V196+V541</f>
        <v>109903.35399999999</v>
      </c>
      <c r="W195" s="2520">
        <f>W196+W541</f>
        <v>107318.156</v>
      </c>
      <c r="X195" s="2238">
        <v>107003.053</v>
      </c>
      <c r="Y195" s="2239">
        <v>103816.586</v>
      </c>
      <c r="Z195" s="2239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 x14ac:dyDescent="0.25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J197+J216+J229+J287+J310+J340+J365+J499</f>
        <v>25287.312000000002</v>
      </c>
      <c r="K196" s="1083"/>
      <c r="L196" s="1084">
        <f>L197+L216+L229+L287+L310+L340+L365+L499</f>
        <v>42242.735000000001</v>
      </c>
      <c r="M196" s="1548">
        <f>M197+M216+M229+M287+M310+M340+M365+M499</f>
        <v>40917.551999999996</v>
      </c>
      <c r="N196" s="2481">
        <f>N197+N216+N229+N287+N310+N340+N365+N421+N433+N446+N457+N470+N509+N528</f>
        <v>115221.38825999999</v>
      </c>
      <c r="O196" s="2445">
        <f>O499+O382+O365+O340+O310+O287+O229+O216+O197</f>
        <v>58948.574999999997</v>
      </c>
      <c r="P196" s="2445">
        <f>P499+P382+P365+P340+P310+P287+P229+P216+P197</f>
        <v>57974.29</v>
      </c>
      <c r="Q196" s="2446">
        <f>Q499+Q382+Q365+Q340+Q310+Q287+Q229+Q216+Q197+Q397+Q470</f>
        <v>73112.25</v>
      </c>
      <c r="R196" s="2444">
        <f>R499+R382+R365+R340+R310+R287+R229+R216+R197+R397+R470</f>
        <v>75425.681000000011</v>
      </c>
      <c r="S196" s="1972"/>
      <c r="T196" s="1972"/>
      <c r="U196" s="1972"/>
      <c r="V196" s="2481">
        <f>V197+V216+V229+V287+V310+V340+V365+V446+V421+V433+V457+V470+V509+V528</f>
        <v>69055.054499999998</v>
      </c>
      <c r="W196" s="2520">
        <f>W197+W216+W229+W287+W310+W340+W365+W446+W421+W433+W457+W470+W509+W528</f>
        <v>65086.424180000002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5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>L200+L205</f>
        <v>3930</v>
      </c>
      <c r="M197" s="1549">
        <f>M200+M205</f>
        <v>1185</v>
      </c>
      <c r="N197" s="2450">
        <f>N210</f>
        <v>250</v>
      </c>
      <c r="O197" s="1983">
        <f>O200+O205</f>
        <v>450</v>
      </c>
      <c r="P197" s="1983">
        <f>P200+P205</f>
        <v>500</v>
      </c>
      <c r="Q197" s="1984">
        <f>Q200+Q205</f>
        <v>650</v>
      </c>
      <c r="R197" s="1985">
        <f>R200+R205</f>
        <v>700</v>
      </c>
      <c r="V197" s="2450">
        <f>V205</f>
        <v>750</v>
      </c>
      <c r="W197" s="2521">
        <f>W205</f>
        <v>750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" hidden="1" x14ac:dyDescent="0.25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2448"/>
      <c r="O198" s="1947"/>
      <c r="P198" s="1941"/>
      <c r="Q198" s="1987"/>
      <c r="R198" s="1988"/>
      <c r="V198" s="2448"/>
      <c r="W198" s="2522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 x14ac:dyDescent="0.25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2448"/>
      <c r="O199" s="1947"/>
      <c r="P199" s="1941"/>
      <c r="Q199" s="1987"/>
      <c r="R199" s="1988"/>
      <c r="V199" s="2448"/>
      <c r="W199" s="252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8" hidden="1" x14ac:dyDescent="0.3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7">L201</f>
        <v>3600</v>
      </c>
      <c r="M200" s="1551">
        <f t="shared" si="137"/>
        <v>850</v>
      </c>
      <c r="N200" s="2452">
        <f t="shared" si="137"/>
        <v>0</v>
      </c>
      <c r="O200" s="1990">
        <f t="shared" si="137"/>
        <v>0</v>
      </c>
      <c r="P200" s="1934">
        <f t="shared" si="137"/>
        <v>0</v>
      </c>
      <c r="Q200" s="1991">
        <f t="shared" si="137"/>
        <v>0</v>
      </c>
      <c r="R200" s="1992">
        <f t="shared" si="137"/>
        <v>0</v>
      </c>
      <c r="S200" s="1089"/>
      <c r="T200" s="1089"/>
      <c r="V200" s="2452">
        <f>V201</f>
        <v>0</v>
      </c>
      <c r="W200" s="2523">
        <f>W201</f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91" hidden="1" x14ac:dyDescent="0.3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7"/>
        <v>3600</v>
      </c>
      <c r="M201" s="1550">
        <f t="shared" si="137"/>
        <v>850</v>
      </c>
      <c r="N201" s="2448">
        <f t="shared" si="137"/>
        <v>0</v>
      </c>
      <c r="O201" s="1947">
        <f t="shared" si="137"/>
        <v>0</v>
      </c>
      <c r="P201" s="1941">
        <f t="shared" si="137"/>
        <v>0</v>
      </c>
      <c r="Q201" s="1987">
        <f t="shared" si="137"/>
        <v>0</v>
      </c>
      <c r="R201" s="1988">
        <f t="shared" si="137"/>
        <v>0</v>
      </c>
      <c r="S201" s="1089"/>
      <c r="T201" s="1089"/>
      <c r="V201" s="2448">
        <f>V202</f>
        <v>0</v>
      </c>
      <c r="W201" s="2522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6" hidden="1" x14ac:dyDescent="0.3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2448">
        <f>N204</f>
        <v>0</v>
      </c>
      <c r="O202" s="1947">
        <f>O204</f>
        <v>0</v>
      </c>
      <c r="P202" s="1941">
        <f>P204</f>
        <v>0</v>
      </c>
      <c r="Q202" s="1987">
        <f>Q204</f>
        <v>0</v>
      </c>
      <c r="R202" s="1988">
        <f>R204</f>
        <v>0</v>
      </c>
      <c r="S202" s="1089"/>
      <c r="T202" s="1089"/>
      <c r="V202" s="2448">
        <f>V204</f>
        <v>0</v>
      </c>
      <c r="W202" s="2522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2" hidden="1" x14ac:dyDescent="0.3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2448"/>
      <c r="O203" s="1947"/>
      <c r="P203" s="1941"/>
      <c r="Q203" s="1987"/>
      <c r="R203" s="1988"/>
      <c r="S203" s="1089"/>
      <c r="T203" s="1089"/>
      <c r="V203" s="2448"/>
      <c r="W203" s="2522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" hidden="1" x14ac:dyDescent="0.3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2448"/>
      <c r="O204" s="1947"/>
      <c r="P204" s="1941"/>
      <c r="Q204" s="1987"/>
      <c r="R204" s="1988"/>
      <c r="S204" s="1089"/>
      <c r="T204" s="1089"/>
      <c r="V204" s="2448"/>
      <c r="W204" s="252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15" x14ac:dyDescent="0.3">
      <c r="A205" s="32"/>
      <c r="B205" s="157" t="s">
        <v>1263</v>
      </c>
      <c r="C205" s="9"/>
      <c r="D205" s="9" t="s">
        <v>295</v>
      </c>
      <c r="E205" s="9" t="s">
        <v>62</v>
      </c>
      <c r="F205" s="9" t="s">
        <v>1262</v>
      </c>
      <c r="G205" s="9"/>
      <c r="H205" s="9"/>
      <c r="I205" s="9"/>
      <c r="J205" s="1065">
        <f>J206</f>
        <v>330</v>
      </c>
      <c r="K205" s="1065"/>
      <c r="L205" s="1065">
        <f>L206</f>
        <v>330</v>
      </c>
      <c r="M205" s="1552">
        <f>M206</f>
        <v>335</v>
      </c>
      <c r="N205" s="2450">
        <f>N206+N211</f>
        <v>250</v>
      </c>
      <c r="O205" s="1994">
        <f>O206</f>
        <v>450</v>
      </c>
      <c r="P205" s="1939">
        <f>P206</f>
        <v>500</v>
      </c>
      <c r="Q205" s="1995">
        <f>Q206</f>
        <v>650</v>
      </c>
      <c r="R205" s="1985">
        <f>R206</f>
        <v>700</v>
      </c>
      <c r="S205" s="1089"/>
      <c r="T205" s="1089"/>
      <c r="V205" s="2450">
        <f>V206+V211</f>
        <v>750</v>
      </c>
      <c r="W205" s="2521">
        <f>W206+W211</f>
        <v>750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13" x14ac:dyDescent="0.25">
      <c r="A206" s="32"/>
      <c r="B206" s="1092" t="s">
        <v>1264</v>
      </c>
      <c r="C206" s="9"/>
      <c r="D206" s="9" t="s">
        <v>295</v>
      </c>
      <c r="E206" s="9" t="s">
        <v>62</v>
      </c>
      <c r="F206" s="9" t="s">
        <v>1261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2448">
        <f>N207</f>
        <v>250</v>
      </c>
      <c r="O206" s="1947">
        <f t="shared" ref="O206:R207" si="138">O209</f>
        <v>450</v>
      </c>
      <c r="P206" s="1941">
        <f t="shared" si="138"/>
        <v>500</v>
      </c>
      <c r="Q206" s="1987">
        <f t="shared" si="138"/>
        <v>650</v>
      </c>
      <c r="R206" s="1988">
        <f t="shared" si="138"/>
        <v>700</v>
      </c>
      <c r="V206" s="2448">
        <f>V207</f>
        <v>750</v>
      </c>
      <c r="W206" s="2522">
        <f>W207</f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" x14ac:dyDescent="0.25">
      <c r="A207" s="32"/>
      <c r="B207" s="49" t="s">
        <v>1260</v>
      </c>
      <c r="C207" s="9"/>
      <c r="D207" s="9" t="s">
        <v>295</v>
      </c>
      <c r="E207" s="9" t="s">
        <v>62</v>
      </c>
      <c r="F207" s="9" t="s">
        <v>1259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2448">
        <f>N209</f>
        <v>250</v>
      </c>
      <c r="O207" s="1947">
        <f t="shared" si="138"/>
        <v>450</v>
      </c>
      <c r="P207" s="1941">
        <f t="shared" si="138"/>
        <v>500</v>
      </c>
      <c r="Q207" s="1987">
        <f t="shared" si="138"/>
        <v>650</v>
      </c>
      <c r="R207" s="1988">
        <f t="shared" si="138"/>
        <v>700</v>
      </c>
      <c r="V207" s="2448">
        <f>V209</f>
        <v>750</v>
      </c>
      <c r="W207" s="2522">
        <f>W209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 x14ac:dyDescent="0.25">
      <c r="A208" s="32"/>
      <c r="B208" s="49" t="s">
        <v>1048</v>
      </c>
      <c r="C208" s="9"/>
      <c r="D208" s="9"/>
      <c r="E208" s="9"/>
      <c r="F208" s="9" t="s">
        <v>1259</v>
      </c>
      <c r="G208" s="9" t="s">
        <v>955</v>
      </c>
      <c r="H208" s="9"/>
      <c r="I208" s="9"/>
      <c r="J208" s="1063"/>
      <c r="K208" s="1063"/>
      <c r="L208" s="1063"/>
      <c r="M208" s="1125"/>
      <c r="N208" s="2448">
        <f>N209</f>
        <v>250</v>
      </c>
      <c r="O208" s="1947"/>
      <c r="P208" s="1941"/>
      <c r="Q208" s="1987"/>
      <c r="R208" s="1988"/>
      <c r="V208" s="2448">
        <f>V209</f>
        <v>750</v>
      </c>
      <c r="W208" s="2522">
        <f>W209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5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1259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2448">
        <f>N210</f>
        <v>250</v>
      </c>
      <c r="O209" s="1947">
        <f>O210</f>
        <v>450</v>
      </c>
      <c r="P209" s="1941">
        <f>P210</f>
        <v>500</v>
      </c>
      <c r="Q209" s="1987">
        <f>Q210</f>
        <v>650</v>
      </c>
      <c r="R209" s="1988">
        <f>R210</f>
        <v>700</v>
      </c>
      <c r="V209" s="2448">
        <f>V210</f>
        <v>750</v>
      </c>
      <c r="W209" s="2522">
        <f>W210</f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5">
      <c r="A210" s="32"/>
      <c r="B210" s="49" t="s">
        <v>64</v>
      </c>
      <c r="C210" s="9"/>
      <c r="D210" s="9"/>
      <c r="E210" s="9"/>
      <c r="F210" s="9" t="s">
        <v>1259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2448">
        <v>250</v>
      </c>
      <c r="O210" s="1947">
        <v>450</v>
      </c>
      <c r="P210" s="1941">
        <v>500</v>
      </c>
      <c r="Q210" s="1987">
        <v>650</v>
      </c>
      <c r="R210" s="1988">
        <v>700</v>
      </c>
      <c r="V210" s="2448">
        <v>750</v>
      </c>
      <c r="W210" s="2522">
        <v>750</v>
      </c>
      <c r="AA210" s="3013"/>
    </row>
    <row r="211" spans="1:256" ht="41.15" hidden="1" customHeight="1" x14ac:dyDescent="0.25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2448">
        <f>N212</f>
        <v>0</v>
      </c>
      <c r="O211" s="1069"/>
      <c r="P211" s="1063"/>
      <c r="Q211" s="1125"/>
      <c r="R211" s="1584"/>
      <c r="S211" s="2352"/>
      <c r="T211" s="2352"/>
      <c r="U211" s="2352"/>
      <c r="V211" s="2448">
        <f>V212</f>
        <v>0</v>
      </c>
      <c r="W211" s="2522">
        <f>W212</f>
        <v>0</v>
      </c>
    </row>
    <row r="212" spans="1:256" ht="13.9" hidden="1" customHeight="1" x14ac:dyDescent="0.25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2448">
        <f>N214</f>
        <v>0</v>
      </c>
      <c r="O212" s="1069"/>
      <c r="P212" s="1063"/>
      <c r="Q212" s="1125"/>
      <c r="R212" s="1584"/>
      <c r="S212" s="2352"/>
      <c r="T212" s="2352"/>
      <c r="U212" s="2352"/>
      <c r="V212" s="2448">
        <f>V214</f>
        <v>0</v>
      </c>
      <c r="W212" s="2522">
        <f>W214</f>
        <v>0</v>
      </c>
    </row>
    <row r="213" spans="1:256" ht="23.15" hidden="1" customHeight="1" x14ac:dyDescent="0.25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2448">
        <f>N214</f>
        <v>0</v>
      </c>
      <c r="O213" s="1069"/>
      <c r="P213" s="1063"/>
      <c r="Q213" s="1125"/>
      <c r="R213" s="1584"/>
      <c r="S213" s="2352"/>
      <c r="T213" s="2352"/>
      <c r="U213" s="2352"/>
      <c r="V213" s="2448">
        <f>V214</f>
        <v>0</v>
      </c>
      <c r="W213" s="2522">
        <f>W214</f>
        <v>0</v>
      </c>
    </row>
    <row r="214" spans="1:256" ht="13.9" hidden="1" customHeight="1" x14ac:dyDescent="0.25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2448">
        <f>N215</f>
        <v>0</v>
      </c>
      <c r="O214" s="1069"/>
      <c r="P214" s="1063"/>
      <c r="Q214" s="1125"/>
      <c r="R214" s="1584"/>
      <c r="S214" s="2352"/>
      <c r="T214" s="2352"/>
      <c r="U214" s="2352"/>
      <c r="V214" s="2448">
        <f>V215</f>
        <v>0</v>
      </c>
      <c r="W214" s="2522">
        <f>W215</f>
        <v>0</v>
      </c>
    </row>
    <row r="215" spans="1:256" ht="26.25" hidden="1" customHeight="1" x14ac:dyDescent="0.25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2448">
        <v>0</v>
      </c>
      <c r="O215" s="1069"/>
      <c r="P215" s="1063"/>
      <c r="Q215" s="1125"/>
      <c r="R215" s="1584"/>
      <c r="S215" s="2352"/>
      <c r="T215" s="2352"/>
      <c r="U215" s="2352"/>
      <c r="V215" s="2448">
        <f>1000-307-693</f>
        <v>0</v>
      </c>
      <c r="W215" s="2522">
        <f>1000-320-680</f>
        <v>0</v>
      </c>
    </row>
    <row r="216" spans="1:256" s="83" customFormat="1" ht="51.75" customHeight="1" x14ac:dyDescent="0.3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39">L218</f>
        <v>305</v>
      </c>
      <c r="M216" s="1553">
        <f t="shared" si="139"/>
        <v>310</v>
      </c>
      <c r="N216" s="2450">
        <f>N228</f>
        <v>296.87090999999998</v>
      </c>
      <c r="O216" s="1958">
        <f t="shared" si="139"/>
        <v>315</v>
      </c>
      <c r="P216" s="1944">
        <f t="shared" si="139"/>
        <v>320</v>
      </c>
      <c r="Q216" s="1996">
        <f t="shared" si="139"/>
        <v>330</v>
      </c>
      <c r="R216" s="1997">
        <f t="shared" si="139"/>
        <v>350</v>
      </c>
      <c r="S216" s="84"/>
      <c r="T216" s="84"/>
      <c r="U216" s="84"/>
      <c r="V216" s="2450">
        <f>V218</f>
        <v>390</v>
      </c>
      <c r="W216" s="2521">
        <f>W218</f>
        <v>390</v>
      </c>
      <c r="X216" s="84"/>
      <c r="Z216" s="2141"/>
      <c r="AB216" s="3014"/>
    </row>
    <row r="217" spans="1:256" s="83" customFormat="1" ht="24" hidden="1" customHeight="1" x14ac:dyDescent="0.3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2450"/>
      <c r="O217" s="1994"/>
      <c r="P217" s="1939"/>
      <c r="Q217" s="1995"/>
      <c r="R217" s="1985"/>
      <c r="S217" s="84"/>
      <c r="T217" s="84"/>
      <c r="U217" s="84"/>
      <c r="V217" s="2450"/>
      <c r="W217" s="2521"/>
      <c r="X217" s="84"/>
      <c r="Z217" s="2141"/>
    </row>
    <row r="218" spans="1:256" s="83" customFormat="1" ht="23.5" customHeight="1" x14ac:dyDescent="0.3">
      <c r="A218" s="85"/>
      <c r="B218" s="1093" t="s">
        <v>1263</v>
      </c>
      <c r="C218" s="9"/>
      <c r="D218" s="33" t="s">
        <v>52</v>
      </c>
      <c r="E218" s="33" t="s">
        <v>49</v>
      </c>
      <c r="F218" s="9" t="s">
        <v>1267</v>
      </c>
      <c r="G218" s="9"/>
      <c r="H218" s="9"/>
      <c r="I218" s="33"/>
      <c r="J218" s="1063">
        <f>J222</f>
        <v>305</v>
      </c>
      <c r="K218" s="1065"/>
      <c r="L218" s="1065">
        <f t="shared" ref="L218:R218" si="140">L222</f>
        <v>305</v>
      </c>
      <c r="M218" s="1552">
        <f t="shared" si="140"/>
        <v>310</v>
      </c>
      <c r="N218" s="2448">
        <f t="shared" si="140"/>
        <v>296.87090999999998</v>
      </c>
      <c r="O218" s="1947">
        <f t="shared" si="140"/>
        <v>315</v>
      </c>
      <c r="P218" s="1941">
        <f t="shared" si="140"/>
        <v>320</v>
      </c>
      <c r="Q218" s="1987">
        <f t="shared" si="140"/>
        <v>330</v>
      </c>
      <c r="R218" s="1988">
        <f t="shared" si="140"/>
        <v>350</v>
      </c>
      <c r="S218" s="84"/>
      <c r="T218" s="84"/>
      <c r="U218" s="84"/>
      <c r="V218" s="2448">
        <f>V222</f>
        <v>390</v>
      </c>
      <c r="W218" s="2522">
        <f>W222</f>
        <v>390</v>
      </c>
      <c r="X218" s="84"/>
      <c r="Z218" s="2141"/>
      <c r="AB218" s="3014"/>
    </row>
    <row r="219" spans="1:256" s="83" customFormat="1" ht="42" customHeight="1" x14ac:dyDescent="0.3">
      <c r="A219" s="85"/>
      <c r="B219" s="1093" t="s">
        <v>1268</v>
      </c>
      <c r="C219" s="9"/>
      <c r="D219" s="33"/>
      <c r="E219" s="33"/>
      <c r="F219" s="9" t="s">
        <v>1266</v>
      </c>
      <c r="G219" s="9"/>
      <c r="H219" s="9"/>
      <c r="I219" s="33"/>
      <c r="J219" s="1063"/>
      <c r="K219" s="1065"/>
      <c r="L219" s="1065"/>
      <c r="M219" s="1552"/>
      <c r="N219" s="2448">
        <f>N220</f>
        <v>296.87090999999998</v>
      </c>
      <c r="O219" s="1947"/>
      <c r="P219" s="1941"/>
      <c r="Q219" s="1987"/>
      <c r="R219" s="1988"/>
      <c r="S219" s="84"/>
      <c r="T219" s="84"/>
      <c r="U219" s="84"/>
      <c r="V219" s="2448">
        <f>V220</f>
        <v>390</v>
      </c>
      <c r="W219" s="2522">
        <f>W220</f>
        <v>390</v>
      </c>
      <c r="X219" s="84"/>
      <c r="Z219" s="2141"/>
    </row>
    <row r="220" spans="1:256" s="83" customFormat="1" ht="26" x14ac:dyDescent="0.3">
      <c r="A220" s="85"/>
      <c r="B220" s="1094" t="s">
        <v>1255</v>
      </c>
      <c r="C220" s="9"/>
      <c r="D220" s="33"/>
      <c r="E220" s="33"/>
      <c r="F220" s="9" t="s">
        <v>1265</v>
      </c>
      <c r="G220" s="9"/>
      <c r="H220" s="9"/>
      <c r="I220" s="33"/>
      <c r="J220" s="1063">
        <f>J222</f>
        <v>305</v>
      </c>
      <c r="K220" s="1065"/>
      <c r="L220" s="1065"/>
      <c r="M220" s="1552"/>
      <c r="N220" s="2448">
        <f>N222</f>
        <v>296.87090999999998</v>
      </c>
      <c r="O220" s="1947">
        <f>O222</f>
        <v>315</v>
      </c>
      <c r="P220" s="1941">
        <f>P222</f>
        <v>320</v>
      </c>
      <c r="Q220" s="1987">
        <f>Q222</f>
        <v>330</v>
      </c>
      <c r="R220" s="1988">
        <f>R222</f>
        <v>350</v>
      </c>
      <c r="S220" s="84"/>
      <c r="T220" s="84"/>
      <c r="U220" s="84"/>
      <c r="V220" s="2448">
        <f>V222</f>
        <v>390</v>
      </c>
      <c r="W220" s="2522">
        <f>W222</f>
        <v>390</v>
      </c>
      <c r="X220" s="84"/>
      <c r="Z220" s="2141"/>
    </row>
    <row r="221" spans="1:256" s="83" customFormat="1" ht="26" x14ac:dyDescent="0.3">
      <c r="A221" s="85"/>
      <c r="B221" s="49" t="s">
        <v>1048</v>
      </c>
      <c r="C221" s="9"/>
      <c r="D221" s="33"/>
      <c r="E221" s="33"/>
      <c r="F221" s="9" t="s">
        <v>1265</v>
      </c>
      <c r="G221" s="9" t="s">
        <v>955</v>
      </c>
      <c r="H221" s="9"/>
      <c r="I221" s="33"/>
      <c r="J221" s="1063"/>
      <c r="K221" s="1065"/>
      <c r="L221" s="1065"/>
      <c r="M221" s="1552"/>
      <c r="N221" s="2448">
        <f>N222</f>
        <v>296.87090999999998</v>
      </c>
      <c r="O221" s="1947"/>
      <c r="P221" s="1941"/>
      <c r="Q221" s="1987"/>
      <c r="R221" s="1988"/>
      <c r="S221" s="84"/>
      <c r="T221" s="84"/>
      <c r="U221" s="84"/>
      <c r="V221" s="2448">
        <f>V222</f>
        <v>390</v>
      </c>
      <c r="W221" s="2522">
        <f>W222</f>
        <v>390</v>
      </c>
      <c r="X221" s="84"/>
      <c r="Z221" s="2141"/>
    </row>
    <row r="222" spans="1:256" s="83" customFormat="1" ht="30" customHeight="1" x14ac:dyDescent="0.3">
      <c r="A222" s="85"/>
      <c r="B222" s="1993" t="s">
        <v>4</v>
      </c>
      <c r="C222" s="9"/>
      <c r="D222" s="33" t="s">
        <v>52</v>
      </c>
      <c r="E222" s="33" t="s">
        <v>49</v>
      </c>
      <c r="F222" s="9" t="s">
        <v>1265</v>
      </c>
      <c r="G222" s="9" t="s">
        <v>1</v>
      </c>
      <c r="H222" s="9"/>
      <c r="I222" s="33"/>
      <c r="J222" s="1063">
        <f>J228</f>
        <v>305</v>
      </c>
      <c r="K222" s="1065"/>
      <c r="L222" s="1063">
        <v>305</v>
      </c>
      <c r="M222" s="1125">
        <v>310</v>
      </c>
      <c r="N222" s="2448">
        <f>N228</f>
        <v>296.87090999999998</v>
      </c>
      <c r="O222" s="1947">
        <f>O228</f>
        <v>315</v>
      </c>
      <c r="P222" s="1941">
        <f>P228</f>
        <v>320</v>
      </c>
      <c r="Q222" s="1987">
        <f>Q228</f>
        <v>330</v>
      </c>
      <c r="R222" s="1988">
        <f>R228</f>
        <v>350</v>
      </c>
      <c r="S222" s="84"/>
      <c r="T222" s="84"/>
      <c r="U222" s="84"/>
      <c r="V222" s="2448">
        <f>V228</f>
        <v>390</v>
      </c>
      <c r="W222" s="2522">
        <f>W228</f>
        <v>390</v>
      </c>
      <c r="X222" s="84"/>
      <c r="Z222" s="2141"/>
    </row>
    <row r="223" spans="1:256" ht="53.5" hidden="1" customHeight="1" x14ac:dyDescent="0.25">
      <c r="A223" s="32"/>
      <c r="B223" s="52" t="s">
        <v>285</v>
      </c>
      <c r="C223" s="34"/>
      <c r="D223" s="94" t="s">
        <v>15</v>
      </c>
      <c r="E223" s="34" t="s">
        <v>9</v>
      </c>
      <c r="F223" s="34" t="s">
        <v>284</v>
      </c>
      <c r="G223" s="131"/>
      <c r="H223" s="131"/>
      <c r="I223" s="34" t="s">
        <v>9</v>
      </c>
      <c r="J223" s="131"/>
      <c r="K223" s="131"/>
      <c r="L223" s="2"/>
      <c r="M223" s="1554"/>
      <c r="N223" s="2450"/>
      <c r="O223" s="1958"/>
      <c r="P223" s="1944"/>
      <c r="Q223" s="1996"/>
      <c r="R223" s="1997"/>
      <c r="V223" s="2450"/>
      <c r="W223" s="2521"/>
    </row>
    <row r="224" spans="1:256" ht="52" hidden="1" x14ac:dyDescent="0.3">
      <c r="A224" s="32"/>
      <c r="B224" s="168" t="s">
        <v>757</v>
      </c>
      <c r="C224" s="9"/>
      <c r="D224" s="88" t="s">
        <v>15</v>
      </c>
      <c r="E224" s="9" t="s">
        <v>9</v>
      </c>
      <c r="F224" s="9" t="s">
        <v>282</v>
      </c>
      <c r="G224" s="9"/>
      <c r="H224" s="9"/>
      <c r="I224" s="9" t="s">
        <v>9</v>
      </c>
      <c r="J224" s="1058"/>
      <c r="K224" s="1058"/>
      <c r="L224" s="1058"/>
      <c r="M224" s="1555"/>
      <c r="N224" s="2452"/>
      <c r="O224" s="1990"/>
      <c r="P224" s="1934"/>
      <c r="Q224" s="1991"/>
      <c r="R224" s="1992"/>
      <c r="V224" s="2452"/>
      <c r="W224" s="2523"/>
    </row>
    <row r="225" spans="1:256" ht="81.650000000000006" hidden="1" customHeight="1" x14ac:dyDescent="0.3">
      <c r="A225" s="32"/>
      <c r="B225" s="167" t="s">
        <v>758</v>
      </c>
      <c r="C225" s="9"/>
      <c r="D225" s="88" t="s">
        <v>15</v>
      </c>
      <c r="E225" s="9" t="s">
        <v>9</v>
      </c>
      <c r="F225" s="9" t="s">
        <v>280</v>
      </c>
      <c r="G225" s="9"/>
      <c r="H225" s="9"/>
      <c r="I225" s="9" t="s">
        <v>9</v>
      </c>
      <c r="J225" s="1058"/>
      <c r="K225" s="1058"/>
      <c r="L225" s="1058"/>
      <c r="M225" s="1555"/>
      <c r="N225" s="2452"/>
      <c r="O225" s="1990"/>
      <c r="P225" s="1934"/>
      <c r="Q225" s="1991"/>
      <c r="R225" s="1992"/>
      <c r="V225" s="2452"/>
      <c r="W225" s="2523"/>
    </row>
    <row r="226" spans="1:256" ht="81" hidden="1" customHeight="1" x14ac:dyDescent="0.3">
      <c r="A226" s="32"/>
      <c r="B226" s="168" t="s">
        <v>759</v>
      </c>
      <c r="C226" s="9"/>
      <c r="D226" s="88" t="s">
        <v>15</v>
      </c>
      <c r="E226" s="9" t="s">
        <v>9</v>
      </c>
      <c r="F226" s="9" t="s">
        <v>278</v>
      </c>
      <c r="G226" s="9"/>
      <c r="H226" s="9"/>
      <c r="I226" s="9" t="s">
        <v>9</v>
      </c>
      <c r="J226" s="1065"/>
      <c r="K226" s="1065"/>
      <c r="L226" s="1065"/>
      <c r="M226" s="1552"/>
      <c r="N226" s="2450"/>
      <c r="O226" s="1994"/>
      <c r="P226" s="1939"/>
      <c r="Q226" s="1995"/>
      <c r="R226" s="1985"/>
      <c r="V226" s="2450"/>
      <c r="W226" s="2521"/>
    </row>
    <row r="227" spans="1:256" ht="52" hidden="1" x14ac:dyDescent="0.3">
      <c r="A227" s="32"/>
      <c r="B227" s="167" t="s">
        <v>760</v>
      </c>
      <c r="C227" s="9"/>
      <c r="D227" s="88" t="s">
        <v>15</v>
      </c>
      <c r="E227" s="9" t="s">
        <v>9</v>
      </c>
      <c r="F227" s="9" t="s">
        <v>276</v>
      </c>
      <c r="G227" s="9"/>
      <c r="H227" s="9"/>
      <c r="I227" s="9" t="s">
        <v>9</v>
      </c>
      <c r="J227" s="1065"/>
      <c r="K227" s="1065"/>
      <c r="L227" s="1065"/>
      <c r="M227" s="1552"/>
      <c r="N227" s="2450"/>
      <c r="O227" s="1994"/>
      <c r="P227" s="1939"/>
      <c r="Q227" s="1995"/>
      <c r="R227" s="1985"/>
      <c r="V227" s="2450"/>
      <c r="W227" s="2521"/>
    </row>
    <row r="228" spans="1:256" ht="16" customHeight="1" x14ac:dyDescent="0.3">
      <c r="A228" s="32"/>
      <c r="B228" s="167" t="s">
        <v>51</v>
      </c>
      <c r="C228" s="9" t="s">
        <v>1265</v>
      </c>
      <c r="D228" s="88"/>
      <c r="E228" s="9"/>
      <c r="F228" s="9" t="s">
        <v>1265</v>
      </c>
      <c r="G228" s="9" t="s">
        <v>1</v>
      </c>
      <c r="H228" s="9" t="s">
        <v>452</v>
      </c>
      <c r="I228" s="33" t="s">
        <v>534</v>
      </c>
      <c r="J228" s="1063">
        <v>305</v>
      </c>
      <c r="K228" s="1065"/>
      <c r="L228" s="1063">
        <v>305</v>
      </c>
      <c r="M228" s="1125">
        <v>310</v>
      </c>
      <c r="N228" s="2448">
        <v>296.87090999999998</v>
      </c>
      <c r="O228" s="1947">
        <v>315</v>
      </c>
      <c r="P228" s="1941">
        <v>320</v>
      </c>
      <c r="Q228" s="1987">
        <v>330</v>
      </c>
      <c r="R228" s="1988">
        <v>350</v>
      </c>
      <c r="V228" s="2448">
        <v>390</v>
      </c>
      <c r="W228" s="2522">
        <v>390</v>
      </c>
    </row>
    <row r="229" spans="1:256" ht="53.25" customHeight="1" x14ac:dyDescent="0.25">
      <c r="A229" s="91">
        <v>3</v>
      </c>
      <c r="B229" s="52" t="s">
        <v>908</v>
      </c>
      <c r="C229" s="34"/>
      <c r="D229" s="34" t="s">
        <v>265</v>
      </c>
      <c r="E229" s="34" t="s">
        <v>262</v>
      </c>
      <c r="F229" s="34" t="s">
        <v>273</v>
      </c>
      <c r="G229" s="131"/>
      <c r="H229" s="131"/>
      <c r="I229" s="34"/>
      <c r="J229" s="51">
        <f>J230+J259+J280</f>
        <v>7755.5</v>
      </c>
      <c r="K229" s="51"/>
      <c r="L229" s="51">
        <f t="shared" ref="L229:R229" si="141">L230+L259+L280</f>
        <v>7755.5</v>
      </c>
      <c r="M229" s="1553">
        <f t="shared" si="141"/>
        <v>8382.5</v>
      </c>
      <c r="N229" s="2450">
        <f>N230+N259+N280</f>
        <v>24109.86</v>
      </c>
      <c r="O229" s="1958">
        <f t="shared" si="141"/>
        <v>15174.699999999999</v>
      </c>
      <c r="P229" s="1944">
        <f t="shared" si="141"/>
        <v>15178</v>
      </c>
      <c r="Q229" s="1996">
        <f t="shared" si="141"/>
        <v>27716.48</v>
      </c>
      <c r="R229" s="1997">
        <f t="shared" si="141"/>
        <v>28872.940000000002</v>
      </c>
      <c r="V229" s="2450">
        <f>V237+V243+V254+V264+V267+V270+V276+V279</f>
        <v>19312.781640000001</v>
      </c>
      <c r="W229" s="2521">
        <f>W237+W243+W254+W264+W267+W270+W276+W279</f>
        <v>20115.75418</v>
      </c>
    </row>
    <row r="230" spans="1:256" ht="13" x14ac:dyDescent="0.25">
      <c r="A230" s="32"/>
      <c r="B230" s="157" t="s">
        <v>1263</v>
      </c>
      <c r="C230" s="34"/>
      <c r="D230" s="34" t="s">
        <v>265</v>
      </c>
      <c r="E230" s="34" t="s">
        <v>262</v>
      </c>
      <c r="F230" s="34" t="s">
        <v>1271</v>
      </c>
      <c r="G230" s="9"/>
      <c r="H230" s="9"/>
      <c r="I230" s="34"/>
      <c r="J230" s="1062">
        <f>J244</f>
        <v>272</v>
      </c>
      <c r="K230" s="1062"/>
      <c r="L230" s="1062">
        <f>L244</f>
        <v>172</v>
      </c>
      <c r="M230" s="1556">
        <f>M244</f>
        <v>184</v>
      </c>
      <c r="N230" s="2451">
        <f>N243+N254+N233+N258</f>
        <v>5887</v>
      </c>
      <c r="O230" s="1999">
        <f>O238</f>
        <v>6962.0999999999995</v>
      </c>
      <c r="P230" s="1937">
        <f>P238</f>
        <v>6915</v>
      </c>
      <c r="Q230" s="2000">
        <f>Q238</f>
        <v>12173.939999999999</v>
      </c>
      <c r="R230" s="2001">
        <f>R238</f>
        <v>12431.57</v>
      </c>
      <c r="V230" s="2451">
        <f>V238</f>
        <v>16923.281640000001</v>
      </c>
      <c r="W230" s="2524">
        <f>W238</f>
        <v>14897.00418</v>
      </c>
    </row>
    <row r="231" spans="1:256" ht="75" hidden="1" customHeight="1" x14ac:dyDescent="0.25">
      <c r="A231" s="32"/>
      <c r="B231" s="90" t="s">
        <v>270</v>
      </c>
      <c r="C231" s="34"/>
      <c r="D231" s="34" t="s">
        <v>265</v>
      </c>
      <c r="E231" s="34" t="s">
        <v>262</v>
      </c>
      <c r="F231" s="9" t="s">
        <v>269</v>
      </c>
      <c r="G231" s="9"/>
      <c r="H231" s="9"/>
      <c r="I231" s="34"/>
      <c r="J231" s="1062"/>
      <c r="K231" s="1062"/>
      <c r="L231" s="1062"/>
      <c r="M231" s="1556"/>
      <c r="N231" s="2451"/>
      <c r="O231" s="1999"/>
      <c r="P231" s="1937"/>
      <c r="Q231" s="2000"/>
      <c r="R231" s="2001"/>
      <c r="V231" s="2451"/>
      <c r="W231" s="2524"/>
    </row>
    <row r="232" spans="1:256" ht="25.15" hidden="1" customHeight="1" x14ac:dyDescent="0.25">
      <c r="A232" s="32"/>
      <c r="B232" s="1993" t="s">
        <v>4</v>
      </c>
      <c r="C232" s="34"/>
      <c r="D232" s="34" t="s">
        <v>265</v>
      </c>
      <c r="E232" s="34" t="s">
        <v>262</v>
      </c>
      <c r="F232" s="9" t="s">
        <v>269</v>
      </c>
      <c r="G232" s="9" t="s">
        <v>1</v>
      </c>
      <c r="H232" s="9"/>
      <c r="I232" s="34"/>
      <c r="J232" s="1062"/>
      <c r="K232" s="1062"/>
      <c r="L232" s="1062"/>
      <c r="M232" s="1556"/>
      <c r="N232" s="2451"/>
      <c r="O232" s="1999"/>
      <c r="P232" s="1937"/>
      <c r="Q232" s="2000"/>
      <c r="R232" s="2001"/>
      <c r="V232" s="2451"/>
      <c r="W232" s="2524"/>
    </row>
    <row r="233" spans="1:256" ht="25.15" customHeight="1" x14ac:dyDescent="0.25">
      <c r="A233" s="32"/>
      <c r="B233" s="2987" t="s">
        <v>1349</v>
      </c>
      <c r="C233" s="34"/>
      <c r="D233" s="34"/>
      <c r="E233" s="34"/>
      <c r="F233" s="9" t="s">
        <v>1348</v>
      </c>
      <c r="G233" s="9"/>
      <c r="H233" s="9"/>
      <c r="I233" s="34"/>
      <c r="J233" s="1062"/>
      <c r="K233" s="1062"/>
      <c r="L233" s="1062"/>
      <c r="M233" s="1556"/>
      <c r="N233" s="2451">
        <f>N234</f>
        <v>270</v>
      </c>
      <c r="O233" s="1999"/>
      <c r="P233" s="1937"/>
      <c r="Q233" s="2970"/>
      <c r="R233" s="2001"/>
      <c r="V233" s="2451">
        <f>V234</f>
        <v>280</v>
      </c>
      <c r="W233" s="2524">
        <f>W234</f>
        <v>290</v>
      </c>
    </row>
    <row r="234" spans="1:256" ht="25.15" customHeight="1" x14ac:dyDescent="0.25">
      <c r="A234" s="32"/>
      <c r="B234" s="2988" t="s">
        <v>1274</v>
      </c>
      <c r="C234" s="34"/>
      <c r="D234" s="34" t="s">
        <v>265</v>
      </c>
      <c r="E234" s="34" t="s">
        <v>262</v>
      </c>
      <c r="F234" s="9" t="s">
        <v>1273</v>
      </c>
      <c r="G234" s="9"/>
      <c r="H234" s="9"/>
      <c r="I234" s="34"/>
      <c r="J234" s="1062">
        <v>272</v>
      </c>
      <c r="K234" s="1062"/>
      <c r="L234" s="1062">
        <v>172</v>
      </c>
      <c r="M234" s="1556">
        <v>184</v>
      </c>
      <c r="N234" s="2451">
        <v>270</v>
      </c>
      <c r="O234" s="1999">
        <v>302</v>
      </c>
      <c r="P234" s="1937">
        <v>337</v>
      </c>
      <c r="Q234" s="2970">
        <v>260</v>
      </c>
      <c r="R234" s="2001">
        <v>270</v>
      </c>
      <c r="V234" s="2451">
        <v>280</v>
      </c>
      <c r="W234" s="2524">
        <v>290</v>
      </c>
    </row>
    <row r="235" spans="1:256" ht="25.15" customHeight="1" x14ac:dyDescent="0.25">
      <c r="A235" s="32"/>
      <c r="B235" s="2987" t="s">
        <v>1048</v>
      </c>
      <c r="C235" s="34"/>
      <c r="D235" s="34"/>
      <c r="E235" s="34"/>
      <c r="F235" s="9" t="s">
        <v>1273</v>
      </c>
      <c r="G235" s="9" t="s">
        <v>955</v>
      </c>
      <c r="H235" s="9"/>
      <c r="I235" s="34"/>
      <c r="J235" s="1062"/>
      <c r="K235" s="1062"/>
      <c r="L235" s="1062"/>
      <c r="M235" s="1556"/>
      <c r="N235" s="2451">
        <v>270</v>
      </c>
      <c r="O235" s="1999"/>
      <c r="P235" s="1937"/>
      <c r="Q235" s="2970"/>
      <c r="R235" s="2001"/>
      <c r="V235" s="2451">
        <v>280</v>
      </c>
      <c r="W235" s="2524">
        <v>290</v>
      </c>
    </row>
    <row r="236" spans="1:256" ht="25.15" customHeight="1" x14ac:dyDescent="0.25">
      <c r="A236" s="32"/>
      <c r="B236" s="2987" t="s">
        <v>4</v>
      </c>
      <c r="C236" s="34"/>
      <c r="D236" s="34" t="s">
        <v>265</v>
      </c>
      <c r="E236" s="34" t="s">
        <v>262</v>
      </c>
      <c r="F236" s="9" t="s">
        <v>1273</v>
      </c>
      <c r="G236" s="9" t="s">
        <v>1</v>
      </c>
      <c r="H236" s="9"/>
      <c r="I236" s="34"/>
      <c r="J236" s="1062">
        <v>272</v>
      </c>
      <c r="K236" s="1062"/>
      <c r="L236" s="1062">
        <v>172</v>
      </c>
      <c r="M236" s="1556">
        <v>184</v>
      </c>
      <c r="N236" s="2451">
        <v>270</v>
      </c>
      <c r="O236" s="1999">
        <v>302</v>
      </c>
      <c r="P236" s="1937">
        <v>337</v>
      </c>
      <c r="Q236" s="2970">
        <v>260</v>
      </c>
      <c r="R236" s="2001">
        <v>270</v>
      </c>
      <c r="V236" s="2451">
        <v>280</v>
      </c>
      <c r="W236" s="2524">
        <v>290</v>
      </c>
    </row>
    <row r="237" spans="1:256" ht="25.15" customHeight="1" x14ac:dyDescent="0.25">
      <c r="A237" s="32"/>
      <c r="B237" s="2988" t="s">
        <v>964</v>
      </c>
      <c r="C237" s="34"/>
      <c r="D237" s="34"/>
      <c r="E237" s="34"/>
      <c r="F237" s="9" t="s">
        <v>1273</v>
      </c>
      <c r="G237" s="9" t="s">
        <v>1</v>
      </c>
      <c r="H237" s="9" t="s">
        <v>506</v>
      </c>
      <c r="I237" s="9" t="s">
        <v>506</v>
      </c>
      <c r="J237" s="1062">
        <v>272</v>
      </c>
      <c r="K237" s="1062"/>
      <c r="L237" s="1062">
        <v>172</v>
      </c>
      <c r="M237" s="1556">
        <v>184</v>
      </c>
      <c r="N237" s="2451">
        <v>270</v>
      </c>
      <c r="O237" s="1999">
        <v>302</v>
      </c>
      <c r="P237" s="1937">
        <v>337</v>
      </c>
      <c r="Q237" s="2970">
        <v>260</v>
      </c>
      <c r="R237" s="2001">
        <v>270</v>
      </c>
      <c r="V237" s="2451">
        <v>280</v>
      </c>
      <c r="W237" s="2524">
        <v>290</v>
      </c>
    </row>
    <row r="238" spans="1:256" s="2" customFormat="1" ht="25.15" hidden="1" customHeight="1" x14ac:dyDescent="0.25">
      <c r="A238" s="32"/>
      <c r="B238" s="1093" t="s">
        <v>933</v>
      </c>
      <c r="C238" s="34"/>
      <c r="D238" s="34" t="s">
        <v>246</v>
      </c>
      <c r="E238" s="34" t="s">
        <v>85</v>
      </c>
      <c r="F238" s="9" t="s">
        <v>252</v>
      </c>
      <c r="G238" s="9"/>
      <c r="H238" s="9"/>
      <c r="I238" s="34"/>
      <c r="J238" s="1062">
        <v>6205</v>
      </c>
      <c r="K238" s="1062"/>
      <c r="L238" s="1062">
        <v>6305</v>
      </c>
      <c r="M238" s="1556">
        <v>6960</v>
      </c>
      <c r="N238" s="2451">
        <v>16347.86</v>
      </c>
      <c r="O238" s="1999">
        <v>6962.0999999999995</v>
      </c>
      <c r="P238" s="1937">
        <v>6915</v>
      </c>
      <c r="Q238" s="2002">
        <v>12173.939999999999</v>
      </c>
      <c r="R238" s="2002">
        <v>12431.57</v>
      </c>
      <c r="V238" s="2451">
        <v>16923.281640000001</v>
      </c>
      <c r="W238" s="2524">
        <v>14897.00418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5">
      <c r="A239" s="32"/>
      <c r="B239" s="2989" t="s">
        <v>1277</v>
      </c>
      <c r="C239" s="34"/>
      <c r="D239" s="34"/>
      <c r="E239" s="34"/>
      <c r="F239" s="9" t="s">
        <v>1276</v>
      </c>
      <c r="G239" s="9"/>
      <c r="H239" s="9"/>
      <c r="I239" s="34"/>
      <c r="J239" s="1062"/>
      <c r="K239" s="1062"/>
      <c r="L239" s="1062"/>
      <c r="M239" s="1556"/>
      <c r="N239" s="2451">
        <v>5499.95</v>
      </c>
      <c r="O239" s="1999"/>
      <c r="P239" s="1937"/>
      <c r="Q239" s="2000"/>
      <c r="R239" s="2001"/>
      <c r="V239" s="2451">
        <v>0</v>
      </c>
      <c r="W239" s="2524">
        <v>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15" customHeight="1" x14ac:dyDescent="0.25">
      <c r="A240" s="32"/>
      <c r="B240" s="2989" t="s">
        <v>1272</v>
      </c>
      <c r="C240" s="34"/>
      <c r="D240" s="34"/>
      <c r="E240" s="34"/>
      <c r="F240" s="9" t="s">
        <v>1270</v>
      </c>
      <c r="G240" s="9"/>
      <c r="H240" s="9"/>
      <c r="I240" s="34"/>
      <c r="J240" s="1062"/>
      <c r="K240" s="1062"/>
      <c r="L240" s="1062"/>
      <c r="M240" s="1556"/>
      <c r="N240" s="2451">
        <f>N241</f>
        <v>117</v>
      </c>
      <c r="O240" s="1999"/>
      <c r="P240" s="1937"/>
      <c r="Q240" s="2000"/>
      <c r="R240" s="2001"/>
      <c r="V240" s="2451">
        <f>V241</f>
        <v>122</v>
      </c>
      <c r="W240" s="2524">
        <f>W241</f>
        <v>122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25.15" customHeight="1" x14ac:dyDescent="0.25">
      <c r="A241" s="32"/>
      <c r="B241" s="1993" t="s">
        <v>1048</v>
      </c>
      <c r="C241" s="34"/>
      <c r="D241" s="34"/>
      <c r="E241" s="34"/>
      <c r="F241" s="9" t="s">
        <v>1269</v>
      </c>
      <c r="G241" s="9" t="s">
        <v>955</v>
      </c>
      <c r="H241" s="9"/>
      <c r="I241" s="34"/>
      <c r="J241" s="1062"/>
      <c r="K241" s="1062"/>
      <c r="L241" s="1062"/>
      <c r="M241" s="1556"/>
      <c r="N241" s="2451">
        <f>N243</f>
        <v>117</v>
      </c>
      <c r="O241" s="1999"/>
      <c r="P241" s="1937"/>
      <c r="Q241" s="2000">
        <f>Q243</f>
        <v>102</v>
      </c>
      <c r="R241" s="2001">
        <f>R243</f>
        <v>107</v>
      </c>
      <c r="V241" s="2451">
        <f>V243</f>
        <v>122</v>
      </c>
      <c r="W241" s="2524">
        <f>W243</f>
        <v>122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25.15" customHeight="1" x14ac:dyDescent="0.25">
      <c r="A242" s="32"/>
      <c r="B242" s="49" t="s">
        <v>4</v>
      </c>
      <c r="C242" s="34"/>
      <c r="D242" s="34"/>
      <c r="E242" s="34"/>
      <c r="F242" s="9" t="s">
        <v>1269</v>
      </c>
      <c r="G242" s="9" t="s">
        <v>1</v>
      </c>
      <c r="H242" s="9"/>
      <c r="I242" s="34"/>
      <c r="J242" s="1062"/>
      <c r="K242" s="1062"/>
      <c r="L242" s="1062"/>
      <c r="M242" s="1556"/>
      <c r="N242" s="2451">
        <f>N243</f>
        <v>117</v>
      </c>
      <c r="O242" s="1999"/>
      <c r="P242" s="1937"/>
      <c r="Q242" s="2000"/>
      <c r="R242" s="2001"/>
      <c r="V242" s="2451">
        <f>V243</f>
        <v>122</v>
      </c>
      <c r="W242" s="2524">
        <f>W243</f>
        <v>122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9" customHeight="1" x14ac:dyDescent="0.25">
      <c r="A243" s="32"/>
      <c r="B243" s="2399" t="s">
        <v>964</v>
      </c>
      <c r="C243" s="34"/>
      <c r="D243" s="34"/>
      <c r="E243" s="34"/>
      <c r="F243" s="9" t="s">
        <v>1269</v>
      </c>
      <c r="G243" s="9" t="s">
        <v>1</v>
      </c>
      <c r="H243" s="9" t="s">
        <v>506</v>
      </c>
      <c r="I243" s="9" t="s">
        <v>506</v>
      </c>
      <c r="J243" s="1062"/>
      <c r="K243" s="1062"/>
      <c r="L243" s="1062"/>
      <c r="M243" s="1556"/>
      <c r="N243" s="2451">
        <v>117</v>
      </c>
      <c r="O243" s="1999"/>
      <c r="P243" s="1937"/>
      <c r="Q243" s="2000">
        <v>102</v>
      </c>
      <c r="R243" s="2001">
        <v>107</v>
      </c>
      <c r="V243" s="2451">
        <v>122</v>
      </c>
      <c r="W243" s="2524">
        <v>122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13" hidden="1" x14ac:dyDescent="0.25">
      <c r="A244" s="32"/>
      <c r="B244" s="49" t="s">
        <v>1274</v>
      </c>
      <c r="C244" s="34"/>
      <c r="D244" s="34" t="s">
        <v>265</v>
      </c>
      <c r="E244" s="34" t="s">
        <v>262</v>
      </c>
      <c r="F244" s="9" t="s">
        <v>1273</v>
      </c>
      <c r="G244" s="9"/>
      <c r="H244" s="9"/>
      <c r="I244" s="34"/>
      <c r="J244" s="1062">
        <f>J246</f>
        <v>272</v>
      </c>
      <c r="K244" s="1062"/>
      <c r="L244" s="1062">
        <f t="shared" ref="L244:R244" si="142">L246</f>
        <v>172</v>
      </c>
      <c r="M244" s="1556">
        <f t="shared" si="142"/>
        <v>184</v>
      </c>
      <c r="N244" s="2451">
        <f t="shared" si="142"/>
        <v>270</v>
      </c>
      <c r="O244" s="1999">
        <f t="shared" si="142"/>
        <v>302</v>
      </c>
      <c r="P244" s="1937">
        <f t="shared" si="142"/>
        <v>337</v>
      </c>
      <c r="Q244" s="2000">
        <f t="shared" si="142"/>
        <v>260</v>
      </c>
      <c r="R244" s="2001">
        <f t="shared" si="142"/>
        <v>270</v>
      </c>
      <c r="V244" s="2451">
        <f>V246</f>
        <v>280</v>
      </c>
      <c r="W244" s="2524">
        <f>W246</f>
        <v>290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26" hidden="1" x14ac:dyDescent="0.25">
      <c r="A245" s="32"/>
      <c r="B245" s="49" t="s">
        <v>1048</v>
      </c>
      <c r="C245" s="34"/>
      <c r="D245" s="34"/>
      <c r="E245" s="34"/>
      <c r="F245" s="9" t="s">
        <v>1273</v>
      </c>
      <c r="G245" s="9" t="s">
        <v>955</v>
      </c>
      <c r="H245" s="9"/>
      <c r="I245" s="34"/>
      <c r="J245" s="1062"/>
      <c r="K245" s="1062"/>
      <c r="L245" s="1062"/>
      <c r="M245" s="1556"/>
      <c r="N245" s="2451">
        <f>N246</f>
        <v>270</v>
      </c>
      <c r="O245" s="1999"/>
      <c r="P245" s="1937"/>
      <c r="Q245" s="2000"/>
      <c r="R245" s="2001"/>
      <c r="V245" s="2451">
        <f>V246</f>
        <v>280</v>
      </c>
      <c r="W245" s="2524">
        <f>W246</f>
        <v>290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5.15" hidden="1" customHeight="1" x14ac:dyDescent="0.25">
      <c r="A246" s="32"/>
      <c r="B246" s="1993" t="s">
        <v>4</v>
      </c>
      <c r="C246" s="34"/>
      <c r="D246" s="34" t="s">
        <v>265</v>
      </c>
      <c r="E246" s="34" t="s">
        <v>262</v>
      </c>
      <c r="F246" s="9" t="s">
        <v>1273</v>
      </c>
      <c r="G246" s="9" t="s">
        <v>1</v>
      </c>
      <c r="H246" s="9"/>
      <c r="I246" s="9"/>
      <c r="J246" s="1062">
        <f>J247</f>
        <v>272</v>
      </c>
      <c r="K246" s="1062"/>
      <c r="L246" s="1062">
        <v>172</v>
      </c>
      <c r="M246" s="1556">
        <v>184</v>
      </c>
      <c r="N246" s="2451">
        <f>N247</f>
        <v>270</v>
      </c>
      <c r="O246" s="1999">
        <f>O247</f>
        <v>302</v>
      </c>
      <c r="P246" s="1937">
        <f>P247</f>
        <v>337</v>
      </c>
      <c r="Q246" s="2000">
        <f>Q247</f>
        <v>260</v>
      </c>
      <c r="R246" s="2001">
        <f>R247</f>
        <v>270</v>
      </c>
      <c r="V246" s="2451">
        <f>V247</f>
        <v>280</v>
      </c>
      <c r="W246" s="2524">
        <f>W247</f>
        <v>290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16.899999999999999" hidden="1" customHeight="1" x14ac:dyDescent="0.3">
      <c r="A247" s="32"/>
      <c r="B247" s="2003" t="s">
        <v>964</v>
      </c>
      <c r="C247" s="34"/>
      <c r="D247" s="34"/>
      <c r="E247" s="34"/>
      <c r="F247" s="9" t="s">
        <v>1273</v>
      </c>
      <c r="G247" s="9" t="s">
        <v>1</v>
      </c>
      <c r="H247" s="9" t="s">
        <v>506</v>
      </c>
      <c r="I247" s="9" t="s">
        <v>506</v>
      </c>
      <c r="J247" s="1062">
        <v>272</v>
      </c>
      <c r="K247" s="1062"/>
      <c r="L247" s="1062">
        <v>172</v>
      </c>
      <c r="M247" s="1556">
        <v>184</v>
      </c>
      <c r="N247" s="2451">
        <v>270</v>
      </c>
      <c r="O247" s="1999">
        <v>302</v>
      </c>
      <c r="P247" s="1937">
        <v>337</v>
      </c>
      <c r="Q247" s="2000">
        <f>362-102</f>
        <v>260</v>
      </c>
      <c r="R247" s="2001">
        <f>377-107</f>
        <v>270</v>
      </c>
      <c r="V247" s="2451">
        <v>280</v>
      </c>
      <c r="W247" s="2524">
        <v>290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48" hidden="1" customHeight="1" x14ac:dyDescent="0.25">
      <c r="A248" s="91"/>
      <c r="B248" s="52" t="s">
        <v>910</v>
      </c>
      <c r="C248" s="34"/>
      <c r="D248" s="34" t="s">
        <v>246</v>
      </c>
      <c r="E248" s="34" t="s">
        <v>85</v>
      </c>
      <c r="F248" s="34" t="s">
        <v>273</v>
      </c>
      <c r="G248" s="131"/>
      <c r="H248" s="131"/>
      <c r="I248" s="34"/>
      <c r="J248" s="51">
        <f>J259</f>
        <v>6205</v>
      </c>
      <c r="K248" s="51"/>
      <c r="L248" s="51">
        <f t="shared" ref="L248:R248" si="143">L259</f>
        <v>6305</v>
      </c>
      <c r="M248" s="1553">
        <f t="shared" si="143"/>
        <v>6960</v>
      </c>
      <c r="N248" s="2450">
        <f t="shared" si="143"/>
        <v>18222.86</v>
      </c>
      <c r="O248" s="1958">
        <f t="shared" si="143"/>
        <v>6962.0999999999995</v>
      </c>
      <c r="P248" s="1944">
        <f t="shared" si="143"/>
        <v>6915</v>
      </c>
      <c r="Q248" s="1996">
        <f t="shared" si="143"/>
        <v>12525.14</v>
      </c>
      <c r="R248" s="1997">
        <f t="shared" si="143"/>
        <v>13103.37</v>
      </c>
      <c r="V248" s="2450">
        <f>V259</f>
        <v>16923.281640000001</v>
      </c>
      <c r="W248" s="2521">
        <f>W259</f>
        <v>14897.00418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48" hidden="1" customHeight="1" x14ac:dyDescent="0.25">
      <c r="A249" s="91"/>
      <c r="B249" s="157" t="s">
        <v>1263</v>
      </c>
      <c r="C249" s="34"/>
      <c r="D249" s="34"/>
      <c r="E249" s="34"/>
      <c r="F249" s="9" t="s">
        <v>1271</v>
      </c>
      <c r="G249" s="131"/>
      <c r="H249" s="131"/>
      <c r="I249" s="34"/>
      <c r="J249" s="51"/>
      <c r="K249" s="51"/>
      <c r="L249" s="51"/>
      <c r="M249" s="1553"/>
      <c r="N249" s="2450"/>
      <c r="O249" s="1958"/>
      <c r="P249" s="1944"/>
      <c r="Q249" s="1996"/>
      <c r="R249" s="1997"/>
      <c r="V249" s="2450"/>
      <c r="W249" s="2521"/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25.5" customHeight="1" x14ac:dyDescent="0.25">
      <c r="A250" s="91"/>
      <c r="B250" s="1093" t="s">
        <v>1277</v>
      </c>
      <c r="C250" s="34"/>
      <c r="D250" s="34"/>
      <c r="E250" s="34"/>
      <c r="F250" s="9" t="s">
        <v>1276</v>
      </c>
      <c r="G250" s="131"/>
      <c r="H250" s="131"/>
      <c r="I250" s="34"/>
      <c r="J250" s="51"/>
      <c r="K250" s="51"/>
      <c r="L250" s="51"/>
      <c r="M250" s="1553"/>
      <c r="N250" s="2448">
        <f>N254+N258</f>
        <v>5500</v>
      </c>
      <c r="O250" s="2400"/>
      <c r="P250" s="2401"/>
      <c r="Q250" s="2402"/>
      <c r="R250" s="2403"/>
      <c r="S250" s="2354"/>
      <c r="T250" s="2354"/>
      <c r="U250" s="2354"/>
      <c r="V250" s="2448">
        <f>V254+V258</f>
        <v>0</v>
      </c>
      <c r="W250" s="2522">
        <f>W254+W258</f>
        <v>0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17.149999999999999" customHeight="1" x14ac:dyDescent="0.25">
      <c r="A251" s="91"/>
      <c r="B251" s="49" t="s">
        <v>1212</v>
      </c>
      <c r="C251" s="34"/>
      <c r="D251" s="34"/>
      <c r="E251" s="34"/>
      <c r="F251" s="9" t="s">
        <v>1275</v>
      </c>
      <c r="G251" s="131"/>
      <c r="H251" s="131"/>
      <c r="I251" s="34"/>
      <c r="J251" s="51"/>
      <c r="K251" s="51"/>
      <c r="L251" s="51"/>
      <c r="M251" s="1553"/>
      <c r="N251" s="2448">
        <f>N252</f>
        <v>5500</v>
      </c>
      <c r="O251" s="2400"/>
      <c r="P251" s="2401"/>
      <c r="Q251" s="2402"/>
      <c r="R251" s="2403"/>
      <c r="S251" s="2354"/>
      <c r="T251" s="2354"/>
      <c r="U251" s="2354"/>
      <c r="V251" s="2448">
        <f t="shared" ref="V251:W253" si="144">V252</f>
        <v>0</v>
      </c>
      <c r="W251" s="2522">
        <f t="shared" si="144"/>
        <v>0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25.5" customHeight="1" x14ac:dyDescent="0.25">
      <c r="A252" s="91"/>
      <c r="B252" s="1993" t="s">
        <v>1048</v>
      </c>
      <c r="C252" s="34"/>
      <c r="D252" s="34"/>
      <c r="E252" s="34"/>
      <c r="F252" s="9" t="s">
        <v>1275</v>
      </c>
      <c r="G252" s="9" t="s">
        <v>955</v>
      </c>
      <c r="H252" s="131"/>
      <c r="I252" s="34"/>
      <c r="J252" s="51"/>
      <c r="K252" s="51"/>
      <c r="L252" s="51"/>
      <c r="M252" s="1553"/>
      <c r="N252" s="2448">
        <f>N253</f>
        <v>5500</v>
      </c>
      <c r="O252" s="2400"/>
      <c r="P252" s="2401"/>
      <c r="Q252" s="2402"/>
      <c r="R252" s="2403"/>
      <c r="S252" s="2354"/>
      <c r="T252" s="2354"/>
      <c r="U252" s="2354"/>
      <c r="V252" s="2448">
        <f t="shared" si="144"/>
        <v>0</v>
      </c>
      <c r="W252" s="2522">
        <f t="shared" si="144"/>
        <v>0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5" customHeight="1" x14ac:dyDescent="0.25">
      <c r="A253" s="91"/>
      <c r="B253" s="49" t="s">
        <v>4</v>
      </c>
      <c r="C253" s="34"/>
      <c r="D253" s="34"/>
      <c r="E253" s="34"/>
      <c r="F253" s="9" t="s">
        <v>1275</v>
      </c>
      <c r="G253" s="9" t="s">
        <v>1</v>
      </c>
      <c r="H253" s="131"/>
      <c r="I253" s="34"/>
      <c r="J253" s="51"/>
      <c r="K253" s="51"/>
      <c r="L253" s="51"/>
      <c r="M253" s="1553"/>
      <c r="N253" s="2448">
        <f>N254</f>
        <v>5500</v>
      </c>
      <c r="O253" s="2400"/>
      <c r="P253" s="2401"/>
      <c r="Q253" s="2402"/>
      <c r="R253" s="2403"/>
      <c r="S253" s="2354"/>
      <c r="T253" s="2354"/>
      <c r="U253" s="2354"/>
      <c r="V253" s="2448">
        <f t="shared" si="144"/>
        <v>0</v>
      </c>
      <c r="W253" s="2522">
        <f t="shared" si="144"/>
        <v>0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25.5" customHeight="1" x14ac:dyDescent="0.25">
      <c r="A254" s="91"/>
      <c r="B254" s="2399" t="s">
        <v>964</v>
      </c>
      <c r="C254" s="34"/>
      <c r="D254" s="34"/>
      <c r="E254" s="34"/>
      <c r="F254" s="9" t="s">
        <v>1275</v>
      </c>
      <c r="G254" s="9" t="s">
        <v>1</v>
      </c>
      <c r="H254" s="9" t="s">
        <v>506</v>
      </c>
      <c r="I254" s="9" t="s">
        <v>506</v>
      </c>
      <c r="J254" s="51"/>
      <c r="K254" s="51"/>
      <c r="L254" s="51"/>
      <c r="M254" s="1553"/>
      <c r="N254" s="2448">
        <f>5499.95+0.045+0.005</f>
        <v>5500</v>
      </c>
      <c r="O254" s="2400"/>
      <c r="P254" s="2401"/>
      <c r="Q254" s="2402"/>
      <c r="R254" s="2403"/>
      <c r="S254" s="2354"/>
      <c r="T254" s="2354"/>
      <c r="U254" s="2354"/>
      <c r="V254" s="2448">
        <v>0</v>
      </c>
      <c r="W254" s="2522">
        <v>0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25.5" hidden="1" customHeight="1" x14ac:dyDescent="0.25">
      <c r="A255" s="91"/>
      <c r="B255" s="49" t="s">
        <v>1216</v>
      </c>
      <c r="C255" s="34"/>
      <c r="D255" s="34"/>
      <c r="E255" s="34"/>
      <c r="F255" s="9" t="s">
        <v>1214</v>
      </c>
      <c r="G255" s="9"/>
      <c r="H255" s="9"/>
      <c r="I255" s="9"/>
      <c r="J255" s="51"/>
      <c r="K255" s="51"/>
      <c r="L255" s="51"/>
      <c r="M255" s="1553"/>
      <c r="N255" s="2448">
        <f>N256</f>
        <v>0</v>
      </c>
      <c r="O255" s="2404"/>
      <c r="P255" s="2405"/>
      <c r="Q255" s="2406"/>
      <c r="R255" s="2407"/>
      <c r="S255" s="2354"/>
      <c r="T255" s="2354"/>
      <c r="U255" s="2354"/>
      <c r="V255" s="2448">
        <f t="shared" ref="V255:W257" si="145">V256</f>
        <v>0</v>
      </c>
      <c r="W255" s="2522">
        <f t="shared" si="145"/>
        <v>0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25.5" hidden="1" customHeight="1" x14ac:dyDescent="0.25">
      <c r="A256" s="91"/>
      <c r="B256" s="1993" t="s">
        <v>1048</v>
      </c>
      <c r="C256" s="34"/>
      <c r="D256" s="34"/>
      <c r="E256" s="34"/>
      <c r="F256" s="9" t="s">
        <v>1214</v>
      </c>
      <c r="G256" s="9" t="s">
        <v>955</v>
      </c>
      <c r="H256" s="131"/>
      <c r="I256" s="34"/>
      <c r="J256" s="51"/>
      <c r="K256" s="51"/>
      <c r="L256" s="51"/>
      <c r="M256" s="1553"/>
      <c r="N256" s="2448">
        <f>N257</f>
        <v>0</v>
      </c>
      <c r="O256" s="2404"/>
      <c r="P256" s="2405"/>
      <c r="Q256" s="2406"/>
      <c r="R256" s="2407"/>
      <c r="S256" s="2354"/>
      <c r="T256" s="2354"/>
      <c r="U256" s="2354"/>
      <c r="V256" s="2448">
        <f t="shared" si="145"/>
        <v>0</v>
      </c>
      <c r="W256" s="2522">
        <f t="shared" si="145"/>
        <v>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5.5" hidden="1" customHeight="1" x14ac:dyDescent="0.25">
      <c r="A257" s="91"/>
      <c r="B257" s="49" t="s">
        <v>4</v>
      </c>
      <c r="C257" s="34"/>
      <c r="D257" s="34"/>
      <c r="E257" s="34"/>
      <c r="F257" s="9" t="s">
        <v>1214</v>
      </c>
      <c r="G257" s="9" t="s">
        <v>1</v>
      </c>
      <c r="H257" s="131"/>
      <c r="I257" s="34"/>
      <c r="J257" s="51"/>
      <c r="K257" s="51"/>
      <c r="L257" s="51"/>
      <c r="M257" s="1553"/>
      <c r="N257" s="2448">
        <f>N258</f>
        <v>0</v>
      </c>
      <c r="O257" s="2404"/>
      <c r="P257" s="2405"/>
      <c r="Q257" s="2406"/>
      <c r="R257" s="2407"/>
      <c r="S257" s="2354"/>
      <c r="T257" s="2354"/>
      <c r="U257" s="2354"/>
      <c r="V257" s="2448">
        <f t="shared" si="145"/>
        <v>0</v>
      </c>
      <c r="W257" s="2522">
        <f t="shared" si="145"/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0.75" customHeight="1" x14ac:dyDescent="0.25">
      <c r="A258" s="91"/>
      <c r="B258" s="2399" t="s">
        <v>964</v>
      </c>
      <c r="C258" s="34"/>
      <c r="D258" s="34"/>
      <c r="E258" s="34"/>
      <c r="F258" s="34" t="s">
        <v>1214</v>
      </c>
      <c r="G258" s="9" t="s">
        <v>1</v>
      </c>
      <c r="H258" s="9" t="s">
        <v>506</v>
      </c>
      <c r="I258" s="9" t="s">
        <v>506</v>
      </c>
      <c r="J258" s="51"/>
      <c r="K258" s="51"/>
      <c r="L258" s="51"/>
      <c r="M258" s="1553"/>
      <c r="N258" s="2448">
        <v>0</v>
      </c>
      <c r="O258" s="2404"/>
      <c r="P258" s="2405"/>
      <c r="Q258" s="2406"/>
      <c r="R258" s="2407"/>
      <c r="S258" s="2354"/>
      <c r="T258" s="2354"/>
      <c r="U258" s="2354"/>
      <c r="V258" s="2448">
        <v>0</v>
      </c>
      <c r="W258" s="2522"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44.25" hidden="1" customHeight="1" x14ac:dyDescent="0.25">
      <c r="A259" s="32"/>
      <c r="B259" s="157" t="s">
        <v>1263</v>
      </c>
      <c r="C259" s="9"/>
      <c r="D259" s="9" t="s">
        <v>246</v>
      </c>
      <c r="E259" s="9" t="s">
        <v>85</v>
      </c>
      <c r="F259" s="34" t="s">
        <v>1271</v>
      </c>
      <c r="G259" s="9"/>
      <c r="H259" s="9"/>
      <c r="I259" s="9"/>
      <c r="J259" s="1060">
        <f>J261</f>
        <v>6205</v>
      </c>
      <c r="K259" s="1060"/>
      <c r="L259" s="1060">
        <f>L261</f>
        <v>6305</v>
      </c>
      <c r="M259" s="1557">
        <f>M261</f>
        <v>6960</v>
      </c>
      <c r="N259" s="2451">
        <f>N264+N267+N270+N279+N272</f>
        <v>18222.86</v>
      </c>
      <c r="O259" s="1999">
        <f>O261</f>
        <v>6962.0999999999995</v>
      </c>
      <c r="P259" s="1937">
        <f>P261</f>
        <v>6915</v>
      </c>
      <c r="Q259" s="2000">
        <f>Q260</f>
        <v>12525.14</v>
      </c>
      <c r="R259" s="2001">
        <f>R260</f>
        <v>13103.37</v>
      </c>
      <c r="V259" s="2451">
        <f>V264+V267+V270+V279</f>
        <v>16923.281640000001</v>
      </c>
      <c r="W259" s="2524">
        <f>W264+W267+W270+W279</f>
        <v>14897.00418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26" x14ac:dyDescent="0.25">
      <c r="A260" s="32"/>
      <c r="B260" s="1093" t="s">
        <v>1280</v>
      </c>
      <c r="C260" s="9"/>
      <c r="D260" s="9"/>
      <c r="E260" s="9"/>
      <c r="F260" s="9" t="s">
        <v>1279</v>
      </c>
      <c r="G260" s="9"/>
      <c r="H260" s="9"/>
      <c r="I260" s="9"/>
      <c r="J260" s="1060">
        <f>J261</f>
        <v>6205</v>
      </c>
      <c r="K260" s="1060"/>
      <c r="L260" s="1060"/>
      <c r="M260" s="1557"/>
      <c r="N260" s="2451">
        <f>N264+N267+N270+N276+N279</f>
        <v>18222.86</v>
      </c>
      <c r="O260" s="1999">
        <f>O261</f>
        <v>6962.0999999999995</v>
      </c>
      <c r="P260" s="1937">
        <f>P261</f>
        <v>6915</v>
      </c>
      <c r="Q260" s="2000">
        <f>Q261+Q276</f>
        <v>12525.14</v>
      </c>
      <c r="R260" s="2001">
        <f>R261+R276</f>
        <v>13103.37</v>
      </c>
      <c r="V260" s="2451">
        <f>V264+V267+V270+V276+V279</f>
        <v>18910.781640000001</v>
      </c>
      <c r="W260" s="2524">
        <f>W264+W267+W270+W276+W279</f>
        <v>19703.75418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13" x14ac:dyDescent="0.25">
      <c r="A261" s="32"/>
      <c r="B261" s="49" t="s">
        <v>257</v>
      </c>
      <c r="C261" s="9"/>
      <c r="D261" s="9" t="s">
        <v>246</v>
      </c>
      <c r="E261" s="9" t="s">
        <v>85</v>
      </c>
      <c r="F261" s="9" t="s">
        <v>1278</v>
      </c>
      <c r="G261" s="9"/>
      <c r="H261" s="9"/>
      <c r="I261" s="9"/>
      <c r="J261" s="1060">
        <f>J263+J266+J269</f>
        <v>6205</v>
      </c>
      <c r="K261" s="1060"/>
      <c r="L261" s="1060">
        <f>L263+L266+L269</f>
        <v>6305</v>
      </c>
      <c r="M261" s="1557">
        <f>M263+M266+M269</f>
        <v>6960</v>
      </c>
      <c r="N261" s="2482">
        <f>N264+N267+N270</f>
        <v>12784.26</v>
      </c>
      <c r="O261" s="2005">
        <f>O263+O266+O269</f>
        <v>6962.0999999999995</v>
      </c>
      <c r="P261" s="2006">
        <f>P263+P266+P269</f>
        <v>6915</v>
      </c>
      <c r="Q261" s="2007">
        <f>Q263+Q266+Q269</f>
        <v>9507.74</v>
      </c>
      <c r="R261" s="2008">
        <f>R263+R266+R269</f>
        <v>9765.3700000000008</v>
      </c>
      <c r="V261" s="2482">
        <f>V264+V267+V270</f>
        <v>13218.137640000001</v>
      </c>
      <c r="W261" s="2525">
        <f>W264+W267+W270</f>
        <v>14897.00418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42.65" customHeight="1" x14ac:dyDescent="0.25">
      <c r="A262" s="32"/>
      <c r="B262" s="49" t="s">
        <v>1063</v>
      </c>
      <c r="C262" s="9"/>
      <c r="D262" s="9"/>
      <c r="E262" s="9"/>
      <c r="F262" s="9" t="s">
        <v>1278</v>
      </c>
      <c r="G262" s="9" t="s">
        <v>1062</v>
      </c>
      <c r="H262" s="9"/>
      <c r="I262" s="9"/>
      <c r="J262" s="1060"/>
      <c r="K262" s="1060"/>
      <c r="L262" s="1060"/>
      <c r="M262" s="1557"/>
      <c r="N262" s="2482">
        <f>N263</f>
        <v>8228.9009999999998</v>
      </c>
      <c r="O262" s="2005"/>
      <c r="P262" s="2006"/>
      <c r="Q262" s="2007"/>
      <c r="R262" s="2008"/>
      <c r="V262" s="2482">
        <f>V263</f>
        <v>8558.0571</v>
      </c>
      <c r="W262" s="2525">
        <f>W263</f>
        <v>8900.3799999999992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13" x14ac:dyDescent="0.3">
      <c r="A263" s="32"/>
      <c r="B263" s="744" t="s">
        <v>256</v>
      </c>
      <c r="C263" s="9"/>
      <c r="D263" s="9" t="s">
        <v>246</v>
      </c>
      <c r="E263" s="9" t="s">
        <v>85</v>
      </c>
      <c r="F263" s="9" t="s">
        <v>1278</v>
      </c>
      <c r="G263" s="9" t="s">
        <v>255</v>
      </c>
      <c r="H263" s="9"/>
      <c r="I263" s="9"/>
      <c r="J263" s="1060">
        <f>J264</f>
        <v>4156.915</v>
      </c>
      <c r="K263" s="1078"/>
      <c r="L263" s="1060">
        <v>5305.1139999999996</v>
      </c>
      <c r="M263" s="1557">
        <v>6631.482</v>
      </c>
      <c r="N263" s="2451">
        <f>N264</f>
        <v>8228.9009999999998</v>
      </c>
      <c r="O263" s="1999">
        <f>O264</f>
        <v>4886.9669999999996</v>
      </c>
      <c r="P263" s="1937">
        <f>P264</f>
        <v>5375.0079999999998</v>
      </c>
      <c r="Q263" s="2000">
        <f>Q264</f>
        <v>7375.74</v>
      </c>
      <c r="R263" s="2001">
        <f>R264</f>
        <v>7670.77</v>
      </c>
      <c r="V263" s="2451">
        <f>V264</f>
        <v>8558.0571</v>
      </c>
      <c r="W263" s="2524">
        <f>W264</f>
        <v>8900.3799999999992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13" x14ac:dyDescent="0.3">
      <c r="A264" s="32"/>
      <c r="B264" s="744" t="s">
        <v>87</v>
      </c>
      <c r="C264" s="9"/>
      <c r="D264" s="9"/>
      <c r="E264" s="9"/>
      <c r="F264" s="9" t="s">
        <v>1278</v>
      </c>
      <c r="G264" s="9" t="s">
        <v>255</v>
      </c>
      <c r="H264" s="9" t="s">
        <v>453</v>
      </c>
      <c r="I264" s="9" t="s">
        <v>456</v>
      </c>
      <c r="J264" s="1060">
        <v>4156.915</v>
      </c>
      <c r="K264" s="1078"/>
      <c r="L264" s="1060"/>
      <c r="M264" s="1557"/>
      <c r="N264" s="2451">
        <v>8228.9009999999998</v>
      </c>
      <c r="O264" s="1999">
        <v>4886.9669999999996</v>
      </c>
      <c r="P264" s="1937">
        <v>5375.0079999999998</v>
      </c>
      <c r="Q264" s="2000">
        <v>7375.74</v>
      </c>
      <c r="R264" s="2001">
        <v>7670.77</v>
      </c>
      <c r="V264" s="2451">
        <v>8558.0571</v>
      </c>
      <c r="W264" s="2524">
        <v>8900.3799999999992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6" x14ac:dyDescent="0.25">
      <c r="A265" s="32"/>
      <c r="B265" s="49" t="s">
        <v>1048</v>
      </c>
      <c r="C265" s="9"/>
      <c r="D265" s="9"/>
      <c r="E265" s="9"/>
      <c r="F265" s="9" t="s">
        <v>1278</v>
      </c>
      <c r="G265" s="9" t="s">
        <v>955</v>
      </c>
      <c r="H265" s="9"/>
      <c r="I265" s="9"/>
      <c r="J265" s="1060"/>
      <c r="K265" s="1078"/>
      <c r="L265" s="1060"/>
      <c r="M265" s="1557"/>
      <c r="N265" s="2451">
        <f>N266</f>
        <v>4554.3590000000004</v>
      </c>
      <c r="O265" s="1999"/>
      <c r="P265" s="1937"/>
      <c r="Q265" s="2000"/>
      <c r="R265" s="2001"/>
      <c r="V265" s="2451">
        <f>V266</f>
        <v>4659.0805399999999</v>
      </c>
      <c r="W265" s="2524">
        <f>W266</f>
        <v>5995.6241799999998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25.15" customHeight="1" x14ac:dyDescent="0.25">
      <c r="A266" s="32"/>
      <c r="B266" s="1993" t="s">
        <v>4</v>
      </c>
      <c r="C266" s="9"/>
      <c r="D266" s="9" t="s">
        <v>246</v>
      </c>
      <c r="E266" s="9" t="s">
        <v>85</v>
      </c>
      <c r="F266" s="9" t="s">
        <v>1278</v>
      </c>
      <c r="G266" s="9" t="s">
        <v>1</v>
      </c>
      <c r="H266" s="9"/>
      <c r="I266" s="9"/>
      <c r="J266" s="1060">
        <f>J267</f>
        <v>2047.085</v>
      </c>
      <c r="K266" s="1060"/>
      <c r="L266" s="1060">
        <f>999.886-0.886</f>
        <v>999</v>
      </c>
      <c r="M266" s="1557">
        <v>328</v>
      </c>
      <c r="N266" s="2451">
        <f>N267</f>
        <v>4554.3590000000004</v>
      </c>
      <c r="O266" s="1999">
        <f>O267</f>
        <v>2074.1329999999998</v>
      </c>
      <c r="P266" s="1937">
        <f>P267</f>
        <v>1538.992</v>
      </c>
      <c r="Q266" s="2000">
        <f>Q267</f>
        <v>2122</v>
      </c>
      <c r="R266" s="2001">
        <f>R267</f>
        <v>2084.6</v>
      </c>
      <c r="V266" s="2451">
        <f>V267</f>
        <v>4659.0805399999999</v>
      </c>
      <c r="W266" s="2524">
        <f>W267</f>
        <v>5995.6241799999998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13" x14ac:dyDescent="0.3">
      <c r="A267" s="32"/>
      <c r="B267" s="744" t="s">
        <v>87</v>
      </c>
      <c r="C267" s="9"/>
      <c r="D267" s="9"/>
      <c r="E267" s="9"/>
      <c r="F267" s="9" t="s">
        <v>1278</v>
      </c>
      <c r="G267" s="9" t="s">
        <v>1</v>
      </c>
      <c r="H267" s="9" t="s">
        <v>453</v>
      </c>
      <c r="I267" s="9" t="s">
        <v>456</v>
      </c>
      <c r="J267" s="1060">
        <v>2047.085</v>
      </c>
      <c r="K267" s="1060"/>
      <c r="L267" s="1060"/>
      <c r="M267" s="1557"/>
      <c r="N267" s="2451">
        <v>4554.3590000000004</v>
      </c>
      <c r="O267" s="1999">
        <v>2074.1329999999998</v>
      </c>
      <c r="P267" s="1937">
        <v>1538.992</v>
      </c>
      <c r="Q267" s="2000">
        <v>2122</v>
      </c>
      <c r="R267" s="2001">
        <v>2084.6</v>
      </c>
      <c r="V267" s="2451">
        <v>4659.0805399999999</v>
      </c>
      <c r="W267" s="2524">
        <f>6173.62417+0.00001-178</f>
        <v>5995.6241799999998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13" x14ac:dyDescent="0.3">
      <c r="A268" s="32"/>
      <c r="B268" s="744" t="s">
        <v>1065</v>
      </c>
      <c r="C268" s="9"/>
      <c r="D268" s="9"/>
      <c r="E268" s="9"/>
      <c r="F268" s="9" t="s">
        <v>1278</v>
      </c>
      <c r="G268" s="9" t="s">
        <v>1064</v>
      </c>
      <c r="H268" s="9"/>
      <c r="I268" s="9"/>
      <c r="J268" s="1060"/>
      <c r="K268" s="1060"/>
      <c r="L268" s="1060"/>
      <c r="M268" s="1557"/>
      <c r="N268" s="2451">
        <f>N269</f>
        <v>1</v>
      </c>
      <c r="O268" s="1999"/>
      <c r="P268" s="1937"/>
      <c r="Q268" s="2000"/>
      <c r="R268" s="2001"/>
      <c r="V268" s="2451">
        <f>V269</f>
        <v>1</v>
      </c>
      <c r="W268" s="2524">
        <f>W269</f>
        <v>1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13" x14ac:dyDescent="0.3">
      <c r="A269" s="32"/>
      <c r="B269" s="744" t="s">
        <v>94</v>
      </c>
      <c r="C269" s="9"/>
      <c r="D269" s="9" t="s">
        <v>246</v>
      </c>
      <c r="E269" s="9" t="s">
        <v>85</v>
      </c>
      <c r="F269" s="9" t="s">
        <v>1278</v>
      </c>
      <c r="G269" s="9" t="s">
        <v>91</v>
      </c>
      <c r="H269" s="9"/>
      <c r="I269" s="9"/>
      <c r="J269" s="1062">
        <f>J270</f>
        <v>1</v>
      </c>
      <c r="K269" s="1062"/>
      <c r="L269" s="1062">
        <v>0.88600000000000001</v>
      </c>
      <c r="M269" s="1556">
        <v>0.51800000000000002</v>
      </c>
      <c r="N269" s="2451">
        <f>N270</f>
        <v>1</v>
      </c>
      <c r="O269" s="1999">
        <f>O270</f>
        <v>1</v>
      </c>
      <c r="P269" s="1937">
        <f>P270</f>
        <v>1</v>
      </c>
      <c r="Q269" s="2000">
        <f>Q270</f>
        <v>10</v>
      </c>
      <c r="R269" s="2001">
        <f>R270</f>
        <v>10</v>
      </c>
      <c r="V269" s="2451">
        <f>V270</f>
        <v>1</v>
      </c>
      <c r="W269" s="2524">
        <f>W270</f>
        <v>1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13" x14ac:dyDescent="0.3">
      <c r="A270" s="32"/>
      <c r="B270" s="744" t="s">
        <v>87</v>
      </c>
      <c r="C270" s="9"/>
      <c r="D270" s="9"/>
      <c r="E270" s="9"/>
      <c r="F270" s="9" t="s">
        <v>1278</v>
      </c>
      <c r="G270" s="9" t="s">
        <v>91</v>
      </c>
      <c r="H270" s="9" t="s">
        <v>453</v>
      </c>
      <c r="I270" s="9" t="s">
        <v>456</v>
      </c>
      <c r="J270" s="1062">
        <v>1</v>
      </c>
      <c r="K270" s="1062"/>
      <c r="L270" s="1062">
        <f>L263+L266+L269</f>
        <v>6305</v>
      </c>
      <c r="M270" s="1556">
        <f>M263+M266+M269</f>
        <v>6960</v>
      </c>
      <c r="N270" s="2451">
        <v>1</v>
      </c>
      <c r="O270" s="1999">
        <v>1</v>
      </c>
      <c r="P270" s="1937">
        <v>1</v>
      </c>
      <c r="Q270" s="2000">
        <v>10</v>
      </c>
      <c r="R270" s="2001">
        <v>10</v>
      </c>
      <c r="V270" s="2451">
        <v>1</v>
      </c>
      <c r="W270" s="2524">
        <v>1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39.65" hidden="1" customHeight="1" x14ac:dyDescent="0.25">
      <c r="A271" s="91"/>
      <c r="B271" s="52" t="s">
        <v>910</v>
      </c>
      <c r="C271" s="34"/>
      <c r="D271" s="34" t="s">
        <v>246</v>
      </c>
      <c r="E271" s="34" t="s">
        <v>242</v>
      </c>
      <c r="F271" s="9" t="s">
        <v>252</v>
      </c>
      <c r="G271" s="131"/>
      <c r="H271" s="131"/>
      <c r="I271" s="34"/>
      <c r="J271" s="51">
        <f>J280</f>
        <v>1278.5</v>
      </c>
      <c r="K271" s="51"/>
      <c r="L271" s="51">
        <f t="shared" ref="L271:R271" si="146">L280</f>
        <v>1278.5</v>
      </c>
      <c r="M271" s="1553">
        <f t="shared" si="146"/>
        <v>1238.5</v>
      </c>
      <c r="N271" s="2450">
        <f t="shared" si="146"/>
        <v>0</v>
      </c>
      <c r="O271" s="1958">
        <f t="shared" si="146"/>
        <v>1250.5</v>
      </c>
      <c r="P271" s="1944">
        <f t="shared" si="146"/>
        <v>1348</v>
      </c>
      <c r="Q271" s="1996">
        <f t="shared" si="146"/>
        <v>3017.4</v>
      </c>
      <c r="R271" s="1997">
        <f t="shared" si="146"/>
        <v>3338</v>
      </c>
      <c r="V271" s="2450">
        <f>V280</f>
        <v>0</v>
      </c>
      <c r="W271" s="2521">
        <f>W280</f>
        <v>0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ht="13" x14ac:dyDescent="0.25">
      <c r="A272" s="32"/>
      <c r="B272" s="49" t="s">
        <v>248</v>
      </c>
      <c r="C272" s="9"/>
      <c r="D272" s="9" t="s">
        <v>246</v>
      </c>
      <c r="E272" s="9" t="s">
        <v>242</v>
      </c>
      <c r="F272" s="9" t="s">
        <v>1282</v>
      </c>
      <c r="G272" s="9"/>
      <c r="H272" s="9"/>
      <c r="I272" s="9"/>
      <c r="J272" s="1060">
        <f>J274</f>
        <v>1278.5</v>
      </c>
      <c r="K272" s="1060"/>
      <c r="L272" s="1060">
        <f t="shared" ref="L272:R272" si="147">L274</f>
        <v>1278.5</v>
      </c>
      <c r="M272" s="1557">
        <f t="shared" si="147"/>
        <v>1238.5</v>
      </c>
      <c r="N272" s="2451">
        <f t="shared" si="147"/>
        <v>1875</v>
      </c>
      <c r="O272" s="1999">
        <f t="shared" si="147"/>
        <v>1250.5</v>
      </c>
      <c r="P272" s="1937">
        <f t="shared" si="147"/>
        <v>1348</v>
      </c>
      <c r="Q272" s="2000">
        <f t="shared" si="147"/>
        <v>3017.4</v>
      </c>
      <c r="R272" s="2001">
        <f t="shared" si="147"/>
        <v>3338</v>
      </c>
      <c r="V272" s="2451">
        <f>V274</f>
        <v>1987.5</v>
      </c>
      <c r="W272" s="2524">
        <f>W274</f>
        <v>4806.75</v>
      </c>
    </row>
    <row r="273" spans="1:256" ht="26" x14ac:dyDescent="0.25">
      <c r="A273" s="32"/>
      <c r="B273" s="49" t="s">
        <v>1048</v>
      </c>
      <c r="C273" s="9"/>
      <c r="D273" s="9"/>
      <c r="E273" s="9"/>
      <c r="F273" s="9" t="s">
        <v>1282</v>
      </c>
      <c r="G273" s="9" t="s">
        <v>955</v>
      </c>
      <c r="H273" s="9"/>
      <c r="I273" s="9"/>
      <c r="J273" s="1060"/>
      <c r="K273" s="1060"/>
      <c r="L273" s="1060"/>
      <c r="M273" s="1557"/>
      <c r="N273" s="2451">
        <f>N274</f>
        <v>1875</v>
      </c>
      <c r="O273" s="1999"/>
      <c r="P273" s="1937"/>
      <c r="Q273" s="2000"/>
      <c r="R273" s="2001"/>
      <c r="V273" s="2451">
        <f>V274</f>
        <v>1987.5</v>
      </c>
      <c r="W273" s="2524">
        <f>W274</f>
        <v>4806.75</v>
      </c>
    </row>
    <row r="274" spans="1:256" ht="25.15" customHeight="1" x14ac:dyDescent="0.25">
      <c r="A274" s="32"/>
      <c r="B274" s="1993" t="s">
        <v>4</v>
      </c>
      <c r="C274" s="9"/>
      <c r="D274" s="9" t="s">
        <v>246</v>
      </c>
      <c r="E274" s="9" t="s">
        <v>242</v>
      </c>
      <c r="F274" s="9" t="s">
        <v>1282</v>
      </c>
      <c r="G274" s="9" t="s">
        <v>1</v>
      </c>
      <c r="H274" s="9"/>
      <c r="I274" s="9"/>
      <c r="J274" s="1060">
        <f>J276</f>
        <v>1278.5</v>
      </c>
      <c r="K274" s="1060"/>
      <c r="L274" s="1060">
        <v>1278.5</v>
      </c>
      <c r="M274" s="1557">
        <v>1238.5</v>
      </c>
      <c r="N274" s="2451">
        <f>N276</f>
        <v>1875</v>
      </c>
      <c r="O274" s="1999">
        <f>O276</f>
        <v>1250.5</v>
      </c>
      <c r="P274" s="1937">
        <f>P276</f>
        <v>1348</v>
      </c>
      <c r="Q274" s="2000">
        <f>Q276</f>
        <v>3017.4</v>
      </c>
      <c r="R274" s="2001">
        <f>R276</f>
        <v>3338</v>
      </c>
      <c r="V274" s="2451">
        <f>V276</f>
        <v>1987.5</v>
      </c>
      <c r="W274" s="2524">
        <f>W276</f>
        <v>4806.75</v>
      </c>
    </row>
    <row r="275" spans="1:256" s="162" customFormat="1" ht="52" hidden="1" x14ac:dyDescent="0.3">
      <c r="A275" s="165"/>
      <c r="B275" s="164" t="s">
        <v>247</v>
      </c>
      <c r="C275" s="33"/>
      <c r="D275" s="33" t="s">
        <v>246</v>
      </c>
      <c r="E275" s="9" t="s">
        <v>242</v>
      </c>
      <c r="F275" s="33" t="s">
        <v>245</v>
      </c>
      <c r="G275" s="31"/>
      <c r="H275" s="31"/>
      <c r="I275" s="9"/>
      <c r="J275" s="1062"/>
      <c r="K275" s="1062"/>
      <c r="L275" s="1062"/>
      <c r="M275" s="1556"/>
      <c r="N275" s="2451"/>
      <c r="O275" s="1999"/>
      <c r="P275" s="1937"/>
      <c r="Q275" s="2000"/>
      <c r="R275" s="2001"/>
      <c r="S275" s="163"/>
      <c r="T275" s="163"/>
      <c r="U275" s="163"/>
      <c r="V275" s="2451"/>
      <c r="W275" s="2524"/>
      <c r="X275" s="163"/>
      <c r="Z275" s="2142"/>
    </row>
    <row r="276" spans="1:256" s="162" customFormat="1" ht="15" x14ac:dyDescent="0.3">
      <c r="A276" s="165"/>
      <c r="B276" s="164" t="s">
        <v>244</v>
      </c>
      <c r="C276" s="33"/>
      <c r="D276" s="33"/>
      <c r="E276" s="9"/>
      <c r="F276" s="9" t="s">
        <v>1282</v>
      </c>
      <c r="G276" s="9" t="s">
        <v>1</v>
      </c>
      <c r="H276" s="9" t="s">
        <v>453</v>
      </c>
      <c r="I276" s="9" t="s">
        <v>452</v>
      </c>
      <c r="J276" s="1060">
        <v>1278.5</v>
      </c>
      <c r="K276" s="1060"/>
      <c r="L276" s="1060">
        <v>1278.5</v>
      </c>
      <c r="M276" s="1557">
        <v>1238.5</v>
      </c>
      <c r="N276" s="2451">
        <v>1875</v>
      </c>
      <c r="O276" s="1999">
        <v>1250.5</v>
      </c>
      <c r="P276" s="1937">
        <v>1348</v>
      </c>
      <c r="Q276" s="2000">
        <v>3017.4</v>
      </c>
      <c r="R276" s="2001">
        <v>3338</v>
      </c>
      <c r="S276" s="163"/>
      <c r="T276" s="163"/>
      <c r="U276" s="163"/>
      <c r="V276" s="2451">
        <v>1987.5</v>
      </c>
      <c r="W276" s="2524">
        <v>4806.75</v>
      </c>
      <c r="X276" s="163"/>
      <c r="Z276" s="2142"/>
    </row>
    <row r="277" spans="1:256" s="2" customFormat="1" ht="51.65" customHeight="1" x14ac:dyDescent="0.3">
      <c r="A277" s="91"/>
      <c r="B277" s="49" t="s">
        <v>1063</v>
      </c>
      <c r="C277" s="735"/>
      <c r="D277" s="77"/>
      <c r="E277" s="77"/>
      <c r="F277" s="9" t="s">
        <v>1281</v>
      </c>
      <c r="G277" s="9" t="s">
        <v>1062</v>
      </c>
      <c r="H277" s="9"/>
      <c r="I277" s="9"/>
      <c r="J277" s="1434"/>
      <c r="K277" s="29"/>
      <c r="L277" s="28"/>
      <c r="M277" s="1558"/>
      <c r="N277" s="2448">
        <f>N278</f>
        <v>3563.6</v>
      </c>
      <c r="O277" s="1947"/>
      <c r="P277" s="1947"/>
      <c r="Q277" s="2010"/>
      <c r="R277" s="1988"/>
      <c r="V277" s="2448">
        <f>V278</f>
        <v>3705.1439999999998</v>
      </c>
      <c r="W277" s="2524">
        <f>W278</f>
        <v>0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17.149999999999999" customHeight="1" x14ac:dyDescent="0.3">
      <c r="A278" s="91"/>
      <c r="B278" s="737" t="s">
        <v>256</v>
      </c>
      <c r="C278" s="735"/>
      <c r="D278" s="77"/>
      <c r="E278" s="77"/>
      <c r="F278" s="9" t="s">
        <v>1281</v>
      </c>
      <c r="G278" s="9" t="s">
        <v>255</v>
      </c>
      <c r="H278" s="9"/>
      <c r="I278" s="9"/>
      <c r="J278" s="1434"/>
      <c r="K278" s="29"/>
      <c r="L278" s="28"/>
      <c r="M278" s="1558"/>
      <c r="N278" s="2448">
        <f>N279</f>
        <v>3563.6</v>
      </c>
      <c r="O278" s="1947"/>
      <c r="P278" s="1947"/>
      <c r="Q278" s="2010">
        <f>Q279</f>
        <v>2666.2</v>
      </c>
      <c r="R278" s="1988">
        <f>R279</f>
        <v>2666.2</v>
      </c>
      <c r="V278" s="2448">
        <f>V279</f>
        <v>3705.1439999999998</v>
      </c>
      <c r="W278" s="2524">
        <f>W279</f>
        <v>0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ht="17.25" customHeight="1" x14ac:dyDescent="0.3">
      <c r="A279" s="91"/>
      <c r="B279" s="744" t="s">
        <v>87</v>
      </c>
      <c r="C279" s="735"/>
      <c r="D279" s="77"/>
      <c r="E279" s="77"/>
      <c r="F279" s="9" t="s">
        <v>1281</v>
      </c>
      <c r="G279" s="9" t="s">
        <v>255</v>
      </c>
      <c r="H279" s="9" t="s">
        <v>453</v>
      </c>
      <c r="I279" s="9" t="s">
        <v>456</v>
      </c>
      <c r="J279" s="1434"/>
      <c r="K279" s="29"/>
      <c r="L279" s="28"/>
      <c r="M279" s="1558"/>
      <c r="N279" s="2448">
        <v>3563.6</v>
      </c>
      <c r="O279" s="1947"/>
      <c r="P279" s="1947"/>
      <c r="Q279" s="2010">
        <v>2666.2</v>
      </c>
      <c r="R279" s="1988">
        <v>2666.2</v>
      </c>
      <c r="S279" s="2011">
        <v>2666.2</v>
      </c>
      <c r="T279" s="2011">
        <v>2666.2</v>
      </c>
      <c r="U279" s="2011">
        <v>2666.2</v>
      </c>
      <c r="V279" s="2448">
        <v>3705.1439999999998</v>
      </c>
      <c r="W279" s="2546">
        <v>0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ht="13" hidden="1" x14ac:dyDescent="0.25">
      <c r="A280" s="32"/>
      <c r="B280" s="157" t="s">
        <v>836</v>
      </c>
      <c r="C280" s="9"/>
      <c r="D280" s="9" t="s">
        <v>246</v>
      </c>
      <c r="E280" s="9" t="s">
        <v>242</v>
      </c>
      <c r="F280" s="34" t="s">
        <v>1271</v>
      </c>
      <c r="G280" s="9"/>
      <c r="H280" s="9"/>
      <c r="I280" s="9"/>
      <c r="J280" s="1060">
        <f>J282</f>
        <v>1278.5</v>
      </c>
      <c r="K280" s="1060"/>
      <c r="L280" s="1060">
        <f>L282</f>
        <v>1278.5</v>
      </c>
      <c r="M280" s="1557">
        <f>M282</f>
        <v>1238.5</v>
      </c>
      <c r="N280" s="2451">
        <f>N281</f>
        <v>0</v>
      </c>
      <c r="O280" s="1999">
        <f>O282</f>
        <v>1250.5</v>
      </c>
      <c r="P280" s="1937">
        <f>P282</f>
        <v>1348</v>
      </c>
      <c r="Q280" s="2000">
        <f>Q282</f>
        <v>3017.4</v>
      </c>
      <c r="R280" s="2001">
        <f>R282</f>
        <v>3338</v>
      </c>
      <c r="V280" s="2451">
        <f>V281</f>
        <v>0</v>
      </c>
      <c r="W280" s="2524">
        <f>W281</f>
        <v>0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ht="13" hidden="1" x14ac:dyDescent="0.25">
      <c r="A281" s="32"/>
      <c r="B281" s="1093" t="s">
        <v>250</v>
      </c>
      <c r="C281" s="9"/>
      <c r="D281" s="9"/>
      <c r="E281" s="9"/>
      <c r="F281" s="34" t="s">
        <v>1279</v>
      </c>
      <c r="G281" s="9"/>
      <c r="H281" s="9"/>
      <c r="I281" s="9"/>
      <c r="J281" s="1060">
        <f>J282</f>
        <v>1278.5</v>
      </c>
      <c r="K281" s="1060"/>
      <c r="L281" s="1060"/>
      <c r="M281" s="1557"/>
      <c r="N281" s="2451">
        <f>N282</f>
        <v>0</v>
      </c>
      <c r="O281" s="1999">
        <f>O282</f>
        <v>1250.5</v>
      </c>
      <c r="P281" s="1937">
        <f>P282</f>
        <v>1348</v>
      </c>
      <c r="Q281" s="2000">
        <f>Q282</f>
        <v>3017.4</v>
      </c>
      <c r="R281" s="2001">
        <f>R282</f>
        <v>3338</v>
      </c>
      <c r="V281" s="2451">
        <f>V282</f>
        <v>0</v>
      </c>
      <c r="W281" s="2524">
        <f>W282</f>
        <v>0</v>
      </c>
    </row>
    <row r="282" spans="1:256" ht="13" hidden="1" x14ac:dyDescent="0.25">
      <c r="A282" s="32"/>
      <c r="B282" s="49" t="s">
        <v>248</v>
      </c>
      <c r="C282" s="9"/>
      <c r="D282" s="9" t="s">
        <v>246</v>
      </c>
      <c r="E282" s="9" t="s">
        <v>242</v>
      </c>
      <c r="F282" s="9" t="s">
        <v>1282</v>
      </c>
      <c r="G282" s="9"/>
      <c r="H282" s="9"/>
      <c r="I282" s="9"/>
      <c r="J282" s="1060">
        <f>J284</f>
        <v>1278.5</v>
      </c>
      <c r="K282" s="1060"/>
      <c r="L282" s="1060">
        <f t="shared" ref="L282:R282" si="148">L284</f>
        <v>1278.5</v>
      </c>
      <c r="M282" s="1557">
        <f t="shared" si="148"/>
        <v>1238.5</v>
      </c>
      <c r="N282" s="2451">
        <f t="shared" si="148"/>
        <v>0</v>
      </c>
      <c r="O282" s="1999">
        <f t="shared" si="148"/>
        <v>1250.5</v>
      </c>
      <c r="P282" s="1937">
        <f t="shared" si="148"/>
        <v>1348</v>
      </c>
      <c r="Q282" s="2000">
        <f t="shared" si="148"/>
        <v>3017.4</v>
      </c>
      <c r="R282" s="2001">
        <f t="shared" si="148"/>
        <v>3338</v>
      </c>
      <c r="V282" s="2451">
        <f>V284</f>
        <v>0</v>
      </c>
      <c r="W282" s="2524">
        <f>W284</f>
        <v>0</v>
      </c>
    </row>
    <row r="283" spans="1:256" ht="26" hidden="1" x14ac:dyDescent="0.25">
      <c r="A283" s="32"/>
      <c r="B283" s="49" t="s">
        <v>1048</v>
      </c>
      <c r="C283" s="9"/>
      <c r="D283" s="9"/>
      <c r="E283" s="9"/>
      <c r="F283" s="9" t="s">
        <v>1282</v>
      </c>
      <c r="G283" s="9" t="s">
        <v>955</v>
      </c>
      <c r="H283" s="9"/>
      <c r="I283" s="9"/>
      <c r="J283" s="1060"/>
      <c r="K283" s="1060"/>
      <c r="L283" s="1060"/>
      <c r="M283" s="1557"/>
      <c r="N283" s="2451">
        <f>N284</f>
        <v>0</v>
      </c>
      <c r="O283" s="1999"/>
      <c r="P283" s="1937"/>
      <c r="Q283" s="2000"/>
      <c r="R283" s="2001"/>
      <c r="V283" s="2451">
        <f>V284</f>
        <v>0</v>
      </c>
      <c r="W283" s="2524">
        <f>W284</f>
        <v>0</v>
      </c>
    </row>
    <row r="284" spans="1:256" ht="25.15" hidden="1" customHeight="1" x14ac:dyDescent="0.25">
      <c r="A284" s="32"/>
      <c r="B284" s="1993" t="s">
        <v>4</v>
      </c>
      <c r="C284" s="9"/>
      <c r="D284" s="9" t="s">
        <v>246</v>
      </c>
      <c r="E284" s="9" t="s">
        <v>242</v>
      </c>
      <c r="F284" s="9" t="s">
        <v>1282</v>
      </c>
      <c r="G284" s="9" t="s">
        <v>1</v>
      </c>
      <c r="H284" s="9"/>
      <c r="I284" s="9"/>
      <c r="J284" s="1060">
        <f>J286</f>
        <v>1278.5</v>
      </c>
      <c r="K284" s="1060"/>
      <c r="L284" s="1060">
        <v>1278.5</v>
      </c>
      <c r="M284" s="1557">
        <v>1238.5</v>
      </c>
      <c r="N284" s="2451">
        <f>N286</f>
        <v>0</v>
      </c>
      <c r="O284" s="1999">
        <f>O286</f>
        <v>1250.5</v>
      </c>
      <c r="P284" s="1937">
        <f>P286</f>
        <v>1348</v>
      </c>
      <c r="Q284" s="2000">
        <f>Q286</f>
        <v>3017.4</v>
      </c>
      <c r="R284" s="2001">
        <f>R286</f>
        <v>3338</v>
      </c>
      <c r="V284" s="2451">
        <f>V286</f>
        <v>0</v>
      </c>
      <c r="W284" s="2524">
        <f>W286</f>
        <v>0</v>
      </c>
    </row>
    <row r="285" spans="1:256" s="162" customFormat="1" ht="51.75" hidden="1" customHeight="1" x14ac:dyDescent="0.3">
      <c r="A285" s="165"/>
      <c r="B285" s="164" t="s">
        <v>247</v>
      </c>
      <c r="C285" s="33"/>
      <c r="D285" s="33" t="s">
        <v>246</v>
      </c>
      <c r="E285" s="9" t="s">
        <v>242</v>
      </c>
      <c r="F285" s="33" t="s">
        <v>245</v>
      </c>
      <c r="G285" s="31"/>
      <c r="H285" s="31"/>
      <c r="I285" s="9"/>
      <c r="J285" s="1062"/>
      <c r="K285" s="1062"/>
      <c r="L285" s="1062"/>
      <c r="M285" s="1556"/>
      <c r="N285" s="2451"/>
      <c r="O285" s="1999"/>
      <c r="P285" s="1937"/>
      <c r="Q285" s="2000"/>
      <c r="R285" s="2001"/>
      <c r="S285" s="163"/>
      <c r="T285" s="163"/>
      <c r="U285" s="163"/>
      <c r="V285" s="2451"/>
      <c r="W285" s="2524"/>
      <c r="X285" s="163"/>
      <c r="Z285" s="2142"/>
    </row>
    <row r="286" spans="1:256" s="162" customFormat="1" ht="18.75" hidden="1" customHeight="1" x14ac:dyDescent="0.3">
      <c r="A286" s="165"/>
      <c r="B286" s="164" t="s">
        <v>244</v>
      </c>
      <c r="C286" s="33"/>
      <c r="D286" s="33"/>
      <c r="E286" s="9"/>
      <c r="F286" s="9" t="s">
        <v>1282</v>
      </c>
      <c r="G286" s="9" t="s">
        <v>1</v>
      </c>
      <c r="H286" s="9" t="s">
        <v>453</v>
      </c>
      <c r="I286" s="9" t="s">
        <v>452</v>
      </c>
      <c r="J286" s="1060">
        <v>1278.5</v>
      </c>
      <c r="K286" s="1060"/>
      <c r="L286" s="1060">
        <v>1278.5</v>
      </c>
      <c r="M286" s="1557">
        <v>1238.5</v>
      </c>
      <c r="N286" s="2451">
        <v>0</v>
      </c>
      <c r="O286" s="1999">
        <v>1250.5</v>
      </c>
      <c r="P286" s="1937">
        <v>1348</v>
      </c>
      <c r="Q286" s="2000">
        <v>3017.4</v>
      </c>
      <c r="R286" s="2001">
        <v>3338</v>
      </c>
      <c r="S286" s="163"/>
      <c r="T286" s="163"/>
      <c r="U286" s="163"/>
      <c r="V286" s="2451">
        <v>0</v>
      </c>
      <c r="W286" s="2524">
        <v>0</v>
      </c>
      <c r="X286" s="163"/>
      <c r="Z286" s="2142"/>
    </row>
    <row r="287" spans="1:256" ht="39.65" customHeight="1" x14ac:dyDescent="0.25">
      <c r="A287" s="91">
        <v>4</v>
      </c>
      <c r="B287" s="52" t="s">
        <v>912</v>
      </c>
      <c r="C287" s="34"/>
      <c r="D287" s="34" t="s">
        <v>168</v>
      </c>
      <c r="E287" s="34" t="s">
        <v>166</v>
      </c>
      <c r="F287" s="34" t="s">
        <v>240</v>
      </c>
      <c r="G287" s="131"/>
      <c r="H287" s="131"/>
      <c r="I287" s="34"/>
      <c r="J287" s="51">
        <f>J288+J303</f>
        <v>1182</v>
      </c>
      <c r="K287" s="51"/>
      <c r="L287" s="51">
        <f t="shared" ref="L287:R287" si="149">L288+L303</f>
        <v>1182</v>
      </c>
      <c r="M287" s="1553">
        <f t="shared" si="149"/>
        <v>1022</v>
      </c>
      <c r="N287" s="2450">
        <f t="shared" si="149"/>
        <v>737.2</v>
      </c>
      <c r="O287" s="1958">
        <f t="shared" si="149"/>
        <v>1202</v>
      </c>
      <c r="P287" s="1944">
        <f t="shared" si="149"/>
        <v>676</v>
      </c>
      <c r="Q287" s="1996">
        <f t="shared" si="149"/>
        <v>1202</v>
      </c>
      <c r="R287" s="1997">
        <f t="shared" si="149"/>
        <v>1250.04</v>
      </c>
      <c r="V287" s="2450">
        <f>V288+V303</f>
        <v>792</v>
      </c>
      <c r="W287" s="2521">
        <f>W288+W303</f>
        <v>601</v>
      </c>
    </row>
    <row r="288" spans="1:256" ht="13" x14ac:dyDescent="0.25">
      <c r="A288" s="32"/>
      <c r="B288" s="157" t="s">
        <v>1263</v>
      </c>
      <c r="C288" s="9"/>
      <c r="D288" s="9" t="s">
        <v>168</v>
      </c>
      <c r="E288" s="9" t="s">
        <v>166</v>
      </c>
      <c r="F288" s="9" t="s">
        <v>1286</v>
      </c>
      <c r="G288" s="88"/>
      <c r="H288" s="88"/>
      <c r="I288" s="9"/>
      <c r="J288" s="1063">
        <f>J289</f>
        <v>496</v>
      </c>
      <c r="K288" s="1063"/>
      <c r="L288" s="1063">
        <f>L290+L299</f>
        <v>496</v>
      </c>
      <c r="M288" s="1125">
        <f>M290+M299</f>
        <v>336</v>
      </c>
      <c r="N288" s="2448">
        <f>N293+N298</f>
        <v>250</v>
      </c>
      <c r="O288" s="1947">
        <f>O289+O293</f>
        <v>506</v>
      </c>
      <c r="P288" s="1941">
        <f>P289+P293</f>
        <v>646</v>
      </c>
      <c r="Q288" s="1987">
        <f>Q293+Q298</f>
        <v>606</v>
      </c>
      <c r="R288" s="1988">
        <f>R293+R298</f>
        <v>630.20000000000005</v>
      </c>
      <c r="V288" s="2448">
        <f>V293+V298</f>
        <v>550</v>
      </c>
      <c r="W288" s="2522">
        <f>W293+W298</f>
        <v>350</v>
      </c>
    </row>
    <row r="289" spans="1:23" ht="39" hidden="1" x14ac:dyDescent="0.25">
      <c r="A289" s="32"/>
      <c r="B289" s="1093" t="s">
        <v>236</v>
      </c>
      <c r="C289" s="9"/>
      <c r="D289" s="9"/>
      <c r="E289" s="9"/>
      <c r="F289" s="9" t="s">
        <v>235</v>
      </c>
      <c r="G289" s="88"/>
      <c r="H289" s="88"/>
      <c r="I289" s="9"/>
      <c r="J289" s="1063">
        <f>J290+J299</f>
        <v>496</v>
      </c>
      <c r="K289" s="1063"/>
      <c r="L289" s="1063"/>
      <c r="M289" s="1125"/>
      <c r="N289" s="2448">
        <f t="shared" ref="N289:R291" si="150">N290</f>
        <v>0</v>
      </c>
      <c r="O289" s="1947">
        <f t="shared" si="150"/>
        <v>0</v>
      </c>
      <c r="P289" s="1941">
        <f t="shared" si="150"/>
        <v>0</v>
      </c>
      <c r="Q289" s="1987">
        <f t="shared" si="150"/>
        <v>0</v>
      </c>
      <c r="R289" s="1988">
        <f t="shared" si="150"/>
        <v>0</v>
      </c>
      <c r="V289" s="2448">
        <f t="shared" ref="V289:W291" si="151">V290</f>
        <v>0</v>
      </c>
      <c r="W289" s="2522">
        <f t="shared" si="151"/>
        <v>0</v>
      </c>
    </row>
    <row r="290" spans="1:23" ht="26" hidden="1" x14ac:dyDescent="0.25">
      <c r="A290" s="32"/>
      <c r="B290" s="49" t="s">
        <v>237</v>
      </c>
      <c r="C290" s="9"/>
      <c r="D290" s="9" t="s">
        <v>168</v>
      </c>
      <c r="E290" s="9" t="s">
        <v>166</v>
      </c>
      <c r="F290" s="9" t="s">
        <v>233</v>
      </c>
      <c r="G290" s="88"/>
      <c r="H290" s="88"/>
      <c r="I290" s="9"/>
      <c r="J290" s="1063">
        <f>J291</f>
        <v>296</v>
      </c>
      <c r="K290" s="1063"/>
      <c r="L290" s="1063">
        <f>L291</f>
        <v>296</v>
      </c>
      <c r="M290" s="1125">
        <f>M291</f>
        <v>136</v>
      </c>
      <c r="N290" s="2448">
        <f t="shared" si="150"/>
        <v>0</v>
      </c>
      <c r="O290" s="1947">
        <f t="shared" si="150"/>
        <v>0</v>
      </c>
      <c r="P290" s="1941">
        <f t="shared" si="150"/>
        <v>0</v>
      </c>
      <c r="Q290" s="1987">
        <f t="shared" si="150"/>
        <v>0</v>
      </c>
      <c r="R290" s="1988">
        <f t="shared" si="150"/>
        <v>0</v>
      </c>
      <c r="V290" s="2448">
        <f t="shared" si="151"/>
        <v>0</v>
      </c>
      <c r="W290" s="2522">
        <f t="shared" si="151"/>
        <v>0</v>
      </c>
    </row>
    <row r="291" spans="1:23" ht="25.15" hidden="1" customHeight="1" x14ac:dyDescent="0.25">
      <c r="A291" s="32"/>
      <c r="B291" s="1993" t="s">
        <v>4</v>
      </c>
      <c r="C291" s="9"/>
      <c r="D291" s="9" t="s">
        <v>168</v>
      </c>
      <c r="E291" s="9" t="s">
        <v>166</v>
      </c>
      <c r="F291" s="9" t="s">
        <v>233</v>
      </c>
      <c r="G291" s="88">
        <v>240</v>
      </c>
      <c r="H291" s="88"/>
      <c r="I291" s="9"/>
      <c r="J291" s="1063">
        <f>J292</f>
        <v>296</v>
      </c>
      <c r="K291" s="1063"/>
      <c r="L291" s="1063">
        <v>296</v>
      </c>
      <c r="M291" s="1125">
        <v>136</v>
      </c>
      <c r="N291" s="2448">
        <f t="shared" si="150"/>
        <v>0</v>
      </c>
      <c r="O291" s="1947">
        <f t="shared" si="150"/>
        <v>0</v>
      </c>
      <c r="P291" s="1941">
        <f t="shared" si="150"/>
        <v>0</v>
      </c>
      <c r="Q291" s="1987">
        <f t="shared" si="150"/>
        <v>0</v>
      </c>
      <c r="R291" s="1988">
        <f t="shared" si="150"/>
        <v>0</v>
      </c>
      <c r="V291" s="2448">
        <f t="shared" si="151"/>
        <v>0</v>
      </c>
      <c r="W291" s="2522">
        <f t="shared" si="151"/>
        <v>0</v>
      </c>
    </row>
    <row r="292" spans="1:23" ht="26" hidden="1" x14ac:dyDescent="0.3">
      <c r="A292" s="32"/>
      <c r="B292" s="2012" t="s">
        <v>221</v>
      </c>
      <c r="C292" s="9"/>
      <c r="D292" s="9"/>
      <c r="E292" s="9"/>
      <c r="F292" s="9" t="s">
        <v>233</v>
      </c>
      <c r="G292" s="88">
        <v>240</v>
      </c>
      <c r="H292" s="88">
        <v>3</v>
      </c>
      <c r="I292" s="9" t="s">
        <v>539</v>
      </c>
      <c r="J292" s="1063">
        <v>296</v>
      </c>
      <c r="K292" s="1063"/>
      <c r="L292" s="1063">
        <v>296</v>
      </c>
      <c r="M292" s="1125">
        <v>136</v>
      </c>
      <c r="N292" s="2448"/>
      <c r="O292" s="1947"/>
      <c r="P292" s="1941"/>
      <c r="Q292" s="1987"/>
      <c r="R292" s="1988"/>
      <c r="V292" s="2448"/>
      <c r="W292" s="2522"/>
    </row>
    <row r="293" spans="1:23" ht="40.5" customHeight="1" x14ac:dyDescent="0.25">
      <c r="A293" s="32"/>
      <c r="B293" s="1093" t="s">
        <v>1285</v>
      </c>
      <c r="C293" s="9"/>
      <c r="D293" s="9"/>
      <c r="E293" s="9"/>
      <c r="F293" s="9" t="s">
        <v>1284</v>
      </c>
      <c r="G293" s="88"/>
      <c r="H293" s="88"/>
      <c r="I293" s="9"/>
      <c r="J293" s="1063">
        <f>J299</f>
        <v>200</v>
      </c>
      <c r="K293" s="1063"/>
      <c r="L293" s="1063"/>
      <c r="M293" s="1125"/>
      <c r="N293" s="2448">
        <f>N294</f>
        <v>130</v>
      </c>
      <c r="O293" s="1947">
        <f>O299+O294</f>
        <v>506</v>
      </c>
      <c r="P293" s="1941">
        <f>P299+P294</f>
        <v>646</v>
      </c>
      <c r="Q293" s="1987">
        <f>Q294</f>
        <v>376</v>
      </c>
      <c r="R293" s="1988">
        <f>R294</f>
        <v>391</v>
      </c>
      <c r="V293" s="2448">
        <f>V294</f>
        <v>230</v>
      </c>
      <c r="W293" s="2522">
        <f>W294</f>
        <v>230</v>
      </c>
    </row>
    <row r="294" spans="1:23" ht="39" x14ac:dyDescent="0.25">
      <c r="A294" s="32"/>
      <c r="B294" s="1098" t="s">
        <v>1254</v>
      </c>
      <c r="C294" s="9"/>
      <c r="D294" s="9"/>
      <c r="E294" s="9"/>
      <c r="F294" s="9" t="s">
        <v>1283</v>
      </c>
      <c r="G294" s="88"/>
      <c r="H294" s="88"/>
      <c r="I294" s="9"/>
      <c r="J294" s="1063"/>
      <c r="K294" s="1063"/>
      <c r="L294" s="1063"/>
      <c r="M294" s="1125"/>
      <c r="N294" s="2448">
        <f>N296</f>
        <v>130</v>
      </c>
      <c r="O294" s="1947">
        <f>O296</f>
        <v>320</v>
      </c>
      <c r="P294" s="1941">
        <f>P296</f>
        <v>340</v>
      </c>
      <c r="Q294" s="1987">
        <f>Q296</f>
        <v>376</v>
      </c>
      <c r="R294" s="1988">
        <f>R296</f>
        <v>391</v>
      </c>
      <c r="V294" s="2448">
        <f>V296</f>
        <v>230</v>
      </c>
      <c r="W294" s="2522">
        <f>W296</f>
        <v>230</v>
      </c>
    </row>
    <row r="295" spans="1:23" ht="26" x14ac:dyDescent="0.25">
      <c r="A295" s="32"/>
      <c r="B295" s="49" t="s">
        <v>1048</v>
      </c>
      <c r="C295" s="9"/>
      <c r="D295" s="9"/>
      <c r="E295" s="9"/>
      <c r="F295" s="9" t="s">
        <v>1283</v>
      </c>
      <c r="G295" s="88">
        <v>200</v>
      </c>
      <c r="H295" s="88"/>
      <c r="I295" s="9"/>
      <c r="J295" s="1063"/>
      <c r="K295" s="1063"/>
      <c r="L295" s="1063"/>
      <c r="M295" s="1125"/>
      <c r="N295" s="2448">
        <f>N296</f>
        <v>130</v>
      </c>
      <c r="O295" s="1947"/>
      <c r="P295" s="1941"/>
      <c r="Q295" s="1987"/>
      <c r="R295" s="1988"/>
      <c r="V295" s="2448">
        <f>V296</f>
        <v>230</v>
      </c>
      <c r="W295" s="2522">
        <f>W296</f>
        <v>230</v>
      </c>
    </row>
    <row r="296" spans="1:23" ht="26" x14ac:dyDescent="0.25">
      <c r="A296" s="32"/>
      <c r="B296" s="1993" t="s">
        <v>4</v>
      </c>
      <c r="C296" s="9"/>
      <c r="D296" s="9"/>
      <c r="E296" s="9"/>
      <c r="F296" s="9" t="s">
        <v>1283</v>
      </c>
      <c r="G296" s="88">
        <v>240</v>
      </c>
      <c r="H296" s="88"/>
      <c r="I296" s="9"/>
      <c r="J296" s="1063"/>
      <c r="K296" s="1063"/>
      <c r="L296" s="1063"/>
      <c r="M296" s="1125"/>
      <c r="N296" s="2448">
        <f>N297</f>
        <v>130</v>
      </c>
      <c r="O296" s="1947">
        <f>O297</f>
        <v>320</v>
      </c>
      <c r="P296" s="1941">
        <f>P297</f>
        <v>340</v>
      </c>
      <c r="Q296" s="1987">
        <f>Q297</f>
        <v>376</v>
      </c>
      <c r="R296" s="1988">
        <f>R297</f>
        <v>391</v>
      </c>
      <c r="V296" s="2448">
        <f>V297</f>
        <v>230</v>
      </c>
      <c r="W296" s="2522">
        <f>W297</f>
        <v>230</v>
      </c>
    </row>
    <row r="297" spans="1:23" ht="26" x14ac:dyDescent="0.3">
      <c r="A297" s="32"/>
      <c r="B297" s="336" t="s">
        <v>1204</v>
      </c>
      <c r="C297" s="9"/>
      <c r="D297" s="9"/>
      <c r="E297" s="9"/>
      <c r="F297" s="9" t="s">
        <v>1283</v>
      </c>
      <c r="G297" s="88">
        <v>240</v>
      </c>
      <c r="H297" s="9" t="s">
        <v>495</v>
      </c>
      <c r="I297" s="9" t="s">
        <v>496</v>
      </c>
      <c r="J297" s="1063"/>
      <c r="K297" s="1063"/>
      <c r="L297" s="1063"/>
      <c r="M297" s="1125"/>
      <c r="N297" s="2448">
        <v>130</v>
      </c>
      <c r="O297" s="1947">
        <v>320</v>
      </c>
      <c r="P297" s="1941">
        <v>340</v>
      </c>
      <c r="Q297" s="1987">
        <v>376</v>
      </c>
      <c r="R297" s="1988">
        <v>391</v>
      </c>
      <c r="V297" s="2448">
        <v>230</v>
      </c>
      <c r="W297" s="2522">
        <v>230</v>
      </c>
    </row>
    <row r="298" spans="1:23" ht="17.5" customHeight="1" x14ac:dyDescent="0.25">
      <c r="A298" s="32"/>
      <c r="B298" s="1093" t="s">
        <v>1289</v>
      </c>
      <c r="C298" s="9"/>
      <c r="D298" s="9"/>
      <c r="E298" s="9"/>
      <c r="F298" s="9" t="s">
        <v>1288</v>
      </c>
      <c r="G298" s="88"/>
      <c r="H298" s="88"/>
      <c r="I298" s="9"/>
      <c r="J298" s="1063"/>
      <c r="K298" s="1063"/>
      <c r="L298" s="1063"/>
      <c r="M298" s="1125"/>
      <c r="N298" s="2448">
        <f>N302</f>
        <v>120</v>
      </c>
      <c r="O298" s="1947">
        <f>O299</f>
        <v>186</v>
      </c>
      <c r="P298" s="1941">
        <f>P299</f>
        <v>306</v>
      </c>
      <c r="Q298" s="1987">
        <f>Q299</f>
        <v>230</v>
      </c>
      <c r="R298" s="1988">
        <f>R299</f>
        <v>239.2</v>
      </c>
      <c r="V298" s="2448">
        <f>V302</f>
        <v>320</v>
      </c>
      <c r="W298" s="2522">
        <f>W302</f>
        <v>120</v>
      </c>
    </row>
    <row r="299" spans="1:23" ht="13" x14ac:dyDescent="0.25">
      <c r="A299" s="32"/>
      <c r="B299" s="1098" t="s">
        <v>230</v>
      </c>
      <c r="C299" s="9"/>
      <c r="D299" s="9" t="s">
        <v>168</v>
      </c>
      <c r="E299" s="9" t="s">
        <v>166</v>
      </c>
      <c r="F299" s="9" t="s">
        <v>1287</v>
      </c>
      <c r="G299" s="88"/>
      <c r="H299" s="88"/>
      <c r="I299" s="9"/>
      <c r="J299" s="1063">
        <f>J301</f>
        <v>200</v>
      </c>
      <c r="K299" s="1063"/>
      <c r="L299" s="1063">
        <f t="shared" ref="L299:R299" si="152">L301</f>
        <v>200</v>
      </c>
      <c r="M299" s="1125">
        <f t="shared" si="152"/>
        <v>200</v>
      </c>
      <c r="N299" s="2448">
        <f t="shared" si="152"/>
        <v>120</v>
      </c>
      <c r="O299" s="1947">
        <f t="shared" si="152"/>
        <v>186</v>
      </c>
      <c r="P299" s="1941">
        <f t="shared" si="152"/>
        <v>306</v>
      </c>
      <c r="Q299" s="1987">
        <f t="shared" si="152"/>
        <v>230</v>
      </c>
      <c r="R299" s="1988">
        <f t="shared" si="152"/>
        <v>239.2</v>
      </c>
      <c r="V299" s="2448">
        <f>V301</f>
        <v>320</v>
      </c>
      <c r="W299" s="2522">
        <f>W301</f>
        <v>120</v>
      </c>
    </row>
    <row r="300" spans="1:23" ht="26" x14ac:dyDescent="0.25">
      <c r="A300" s="32"/>
      <c r="B300" s="49" t="s">
        <v>1048</v>
      </c>
      <c r="C300" s="9"/>
      <c r="D300" s="9"/>
      <c r="E300" s="9"/>
      <c r="F300" s="9" t="s">
        <v>1287</v>
      </c>
      <c r="G300" s="88">
        <v>200</v>
      </c>
      <c r="H300" s="88"/>
      <c r="I300" s="9"/>
      <c r="J300" s="1063"/>
      <c r="K300" s="1063"/>
      <c r="L300" s="1063"/>
      <c r="M300" s="1125"/>
      <c r="N300" s="2448">
        <f>N301</f>
        <v>120</v>
      </c>
      <c r="O300" s="1947"/>
      <c r="P300" s="1941"/>
      <c r="Q300" s="1987"/>
      <c r="R300" s="1988"/>
      <c r="V300" s="2448">
        <f>V301</f>
        <v>320</v>
      </c>
      <c r="W300" s="2522">
        <f>W301</f>
        <v>120</v>
      </c>
    </row>
    <row r="301" spans="1:23" ht="25.15" customHeight="1" x14ac:dyDescent="0.25">
      <c r="A301" s="32"/>
      <c r="B301" s="1993" t="s">
        <v>4</v>
      </c>
      <c r="C301" s="9"/>
      <c r="D301" s="9" t="s">
        <v>168</v>
      </c>
      <c r="E301" s="9" t="s">
        <v>166</v>
      </c>
      <c r="F301" s="9" t="s">
        <v>1287</v>
      </c>
      <c r="G301" s="88">
        <v>240</v>
      </c>
      <c r="H301" s="88"/>
      <c r="I301" s="9"/>
      <c r="J301" s="1063">
        <f>J302</f>
        <v>200</v>
      </c>
      <c r="K301" s="1063"/>
      <c r="L301" s="1063">
        <v>200</v>
      </c>
      <c r="M301" s="1125">
        <v>200</v>
      </c>
      <c r="N301" s="2448">
        <f>N302</f>
        <v>120</v>
      </c>
      <c r="O301" s="1947">
        <f>O302</f>
        <v>186</v>
      </c>
      <c r="P301" s="1941">
        <f>P302</f>
        <v>306</v>
      </c>
      <c r="Q301" s="1987">
        <f>Q302</f>
        <v>230</v>
      </c>
      <c r="R301" s="1988">
        <f>R302</f>
        <v>239.2</v>
      </c>
      <c r="V301" s="2448">
        <f>V302</f>
        <v>320</v>
      </c>
      <c r="W301" s="2522">
        <f>W302</f>
        <v>120</v>
      </c>
    </row>
    <row r="302" spans="1:23" ht="26" x14ac:dyDescent="0.3">
      <c r="A302" s="32"/>
      <c r="B302" s="336" t="s">
        <v>1204</v>
      </c>
      <c r="C302" s="9"/>
      <c r="D302" s="9"/>
      <c r="E302" s="9"/>
      <c r="F302" s="9" t="s">
        <v>1287</v>
      </c>
      <c r="G302" s="88">
        <v>240</v>
      </c>
      <c r="H302" s="9" t="s">
        <v>495</v>
      </c>
      <c r="I302" s="9" t="s">
        <v>496</v>
      </c>
      <c r="J302" s="1063">
        <v>200</v>
      </c>
      <c r="K302" s="1063"/>
      <c r="L302" s="1063">
        <v>200</v>
      </c>
      <c r="M302" s="1125">
        <v>200</v>
      </c>
      <c r="N302" s="2448">
        <v>120</v>
      </c>
      <c r="O302" s="1947">
        <v>186</v>
      </c>
      <c r="P302" s="1941">
        <v>306</v>
      </c>
      <c r="Q302" s="1987">
        <v>230</v>
      </c>
      <c r="R302" s="1988">
        <v>239.2</v>
      </c>
      <c r="V302" s="2448">
        <v>320</v>
      </c>
      <c r="W302" s="2522">
        <v>120</v>
      </c>
    </row>
    <row r="303" spans="1:23" ht="37.5" customHeight="1" x14ac:dyDescent="0.25">
      <c r="A303" s="32"/>
      <c r="B303" s="157" t="s">
        <v>783</v>
      </c>
      <c r="C303" s="34"/>
      <c r="D303" s="9" t="s">
        <v>168</v>
      </c>
      <c r="E303" s="9" t="s">
        <v>166</v>
      </c>
      <c r="F303" s="9" t="s">
        <v>1286</v>
      </c>
      <c r="G303" s="9"/>
      <c r="H303" s="9"/>
      <c r="I303" s="9"/>
      <c r="J303" s="1063">
        <f>J305</f>
        <v>686</v>
      </c>
      <c r="K303" s="1063"/>
      <c r="L303" s="1063">
        <f>L305</f>
        <v>686</v>
      </c>
      <c r="M303" s="1125">
        <f>M305</f>
        <v>686</v>
      </c>
      <c r="N303" s="2448">
        <f t="shared" ref="N303:R304" si="153">N304</f>
        <v>487.2</v>
      </c>
      <c r="O303" s="1947">
        <f t="shared" si="153"/>
        <v>696</v>
      </c>
      <c r="P303" s="1941">
        <f t="shared" si="153"/>
        <v>30</v>
      </c>
      <c r="Q303" s="1987">
        <f t="shared" si="153"/>
        <v>596</v>
      </c>
      <c r="R303" s="1988">
        <f t="shared" si="153"/>
        <v>619.84</v>
      </c>
      <c r="V303" s="2448">
        <f>V304</f>
        <v>242</v>
      </c>
      <c r="W303" s="2522">
        <f>W304</f>
        <v>251</v>
      </c>
    </row>
    <row r="304" spans="1:23" ht="32.15" customHeight="1" x14ac:dyDescent="0.25">
      <c r="A304" s="32"/>
      <c r="B304" s="1093" t="s">
        <v>1291</v>
      </c>
      <c r="C304" s="34"/>
      <c r="D304" s="9"/>
      <c r="E304" s="9"/>
      <c r="F304" s="9" t="s">
        <v>1290</v>
      </c>
      <c r="G304" s="9"/>
      <c r="H304" s="9"/>
      <c r="I304" s="9"/>
      <c r="J304" s="1063">
        <f>J303</f>
        <v>686</v>
      </c>
      <c r="K304" s="1063"/>
      <c r="L304" s="1063"/>
      <c r="M304" s="1125"/>
      <c r="N304" s="2448">
        <f t="shared" si="153"/>
        <v>487.2</v>
      </c>
      <c r="O304" s="1947">
        <f t="shared" si="153"/>
        <v>696</v>
      </c>
      <c r="P304" s="1941">
        <f t="shared" si="153"/>
        <v>30</v>
      </c>
      <c r="Q304" s="1987">
        <f t="shared" si="153"/>
        <v>596</v>
      </c>
      <c r="R304" s="1988">
        <f t="shared" si="153"/>
        <v>619.84</v>
      </c>
      <c r="V304" s="2448">
        <f>V305</f>
        <v>242</v>
      </c>
      <c r="W304" s="2522">
        <f>W305</f>
        <v>251</v>
      </c>
    </row>
    <row r="305" spans="1:26" ht="57" customHeight="1" x14ac:dyDescent="0.25">
      <c r="A305" s="32"/>
      <c r="B305" s="1098" t="s">
        <v>1293</v>
      </c>
      <c r="C305" s="34"/>
      <c r="D305" s="9" t="s">
        <v>168</v>
      </c>
      <c r="E305" s="9" t="s">
        <v>166</v>
      </c>
      <c r="F305" s="9" t="s">
        <v>1292</v>
      </c>
      <c r="G305" s="34"/>
      <c r="H305" s="34"/>
      <c r="I305" s="9"/>
      <c r="J305" s="1063">
        <f>J308</f>
        <v>686</v>
      </c>
      <c r="K305" s="1063"/>
      <c r="L305" s="1063">
        <f t="shared" ref="L305:R305" si="154">L308</f>
        <v>686</v>
      </c>
      <c r="M305" s="1125">
        <f t="shared" si="154"/>
        <v>686</v>
      </c>
      <c r="N305" s="2448">
        <f t="shared" si="154"/>
        <v>487.2</v>
      </c>
      <c r="O305" s="1947">
        <f t="shared" si="154"/>
        <v>696</v>
      </c>
      <c r="P305" s="1941">
        <f t="shared" si="154"/>
        <v>30</v>
      </c>
      <c r="Q305" s="1987">
        <f t="shared" si="154"/>
        <v>596</v>
      </c>
      <c r="R305" s="1988">
        <f t="shared" si="154"/>
        <v>619.84</v>
      </c>
      <c r="V305" s="2448">
        <f>V308</f>
        <v>242</v>
      </c>
      <c r="W305" s="2522">
        <f>W308</f>
        <v>251</v>
      </c>
    </row>
    <row r="306" spans="1:26" ht="36" hidden="1" customHeight="1" x14ac:dyDescent="0.25">
      <c r="A306" s="32"/>
      <c r="B306" s="42" t="s">
        <v>223</v>
      </c>
      <c r="C306" s="160"/>
      <c r="D306" s="31" t="s">
        <v>168</v>
      </c>
      <c r="E306" s="31" t="s">
        <v>166</v>
      </c>
      <c r="F306" s="31" t="s">
        <v>1374</v>
      </c>
      <c r="G306" s="161"/>
      <c r="H306" s="161"/>
      <c r="I306" s="31" t="s">
        <v>166</v>
      </c>
      <c r="J306" s="1069"/>
      <c r="K306" s="1069"/>
      <c r="L306" s="1069"/>
      <c r="M306" s="1436"/>
      <c r="N306" s="2448"/>
      <c r="O306" s="1947"/>
      <c r="P306" s="1947"/>
      <c r="Q306" s="2010"/>
      <c r="R306" s="1988"/>
      <c r="V306" s="2448"/>
      <c r="W306" s="2522"/>
    </row>
    <row r="307" spans="1:26" ht="40.5" customHeight="1" x14ac:dyDescent="0.25">
      <c r="A307" s="32"/>
      <c r="B307" s="49" t="s">
        <v>1048</v>
      </c>
      <c r="C307" s="160"/>
      <c r="D307" s="31"/>
      <c r="E307" s="31"/>
      <c r="F307" s="9" t="s">
        <v>1292</v>
      </c>
      <c r="G307" s="88">
        <v>200</v>
      </c>
      <c r="H307" s="161"/>
      <c r="I307" s="31"/>
      <c r="J307" s="1069"/>
      <c r="K307" s="1069"/>
      <c r="L307" s="1069"/>
      <c r="M307" s="1436"/>
      <c r="N307" s="2448">
        <f>N308</f>
        <v>487.2</v>
      </c>
      <c r="O307" s="1947"/>
      <c r="P307" s="1947"/>
      <c r="Q307" s="2010"/>
      <c r="R307" s="1988"/>
      <c r="V307" s="2448">
        <f>V308</f>
        <v>242</v>
      </c>
      <c r="W307" s="2522">
        <f>W308</f>
        <v>251</v>
      </c>
    </row>
    <row r="308" spans="1:26" ht="25.15" customHeight="1" x14ac:dyDescent="0.25">
      <c r="A308" s="32"/>
      <c r="B308" s="1993" t="s">
        <v>4</v>
      </c>
      <c r="C308" s="160"/>
      <c r="D308" s="9" t="s">
        <v>168</v>
      </c>
      <c r="E308" s="9" t="s">
        <v>166</v>
      </c>
      <c r="F308" s="9" t="s">
        <v>1292</v>
      </c>
      <c r="G308" s="33" t="s">
        <v>1</v>
      </c>
      <c r="H308" s="33"/>
      <c r="I308" s="9"/>
      <c r="J308" s="1063">
        <v>686</v>
      </c>
      <c r="K308" s="1069"/>
      <c r="L308" s="1063">
        <v>686</v>
      </c>
      <c r="M308" s="1125">
        <v>686</v>
      </c>
      <c r="N308" s="2448">
        <f>N309</f>
        <v>487.2</v>
      </c>
      <c r="O308" s="1947">
        <f>O309</f>
        <v>696</v>
      </c>
      <c r="P308" s="1941">
        <f>P309</f>
        <v>30</v>
      </c>
      <c r="Q308" s="1987">
        <f>Q309</f>
        <v>596</v>
      </c>
      <c r="R308" s="1988">
        <f>R309</f>
        <v>619.84</v>
      </c>
      <c r="V308" s="2448">
        <f>V309</f>
        <v>242</v>
      </c>
      <c r="W308" s="2522">
        <f>W309</f>
        <v>251</v>
      </c>
    </row>
    <row r="309" spans="1:26" ht="27.65" customHeight="1" x14ac:dyDescent="0.3">
      <c r="A309" s="32"/>
      <c r="B309" s="336" t="s">
        <v>221</v>
      </c>
      <c r="C309" s="160"/>
      <c r="D309" s="9"/>
      <c r="E309" s="9"/>
      <c r="F309" s="9" t="s">
        <v>1292</v>
      </c>
      <c r="G309" s="33" t="s">
        <v>1</v>
      </c>
      <c r="H309" s="9" t="s">
        <v>495</v>
      </c>
      <c r="I309" s="9" t="s">
        <v>496</v>
      </c>
      <c r="J309" s="1063">
        <v>686</v>
      </c>
      <c r="K309" s="1069"/>
      <c r="L309" s="1063">
        <v>686</v>
      </c>
      <c r="M309" s="1125">
        <v>686</v>
      </c>
      <c r="N309" s="2448">
        <v>487.2</v>
      </c>
      <c r="O309" s="1947">
        <v>696</v>
      </c>
      <c r="P309" s="1941">
        <v>30</v>
      </c>
      <c r="Q309" s="1987">
        <v>596</v>
      </c>
      <c r="R309" s="1988">
        <v>619.84</v>
      </c>
      <c r="V309" s="2448">
        <v>242</v>
      </c>
      <c r="W309" s="2522">
        <v>251</v>
      </c>
    </row>
    <row r="310" spans="1:26" s="83" customFormat="1" ht="38.25" customHeight="1" x14ac:dyDescent="0.3">
      <c r="A310" s="91">
        <v>5</v>
      </c>
      <c r="B310" s="52" t="s">
        <v>914</v>
      </c>
      <c r="C310" s="89"/>
      <c r="D310" s="89" t="s">
        <v>52</v>
      </c>
      <c r="E310" s="89" t="s">
        <v>58</v>
      </c>
      <c r="F310" s="89" t="s">
        <v>218</v>
      </c>
      <c r="G310" s="131"/>
      <c r="H310" s="131"/>
      <c r="I310" s="89"/>
      <c r="J310" s="51">
        <f>J311+J331</f>
        <v>1600</v>
      </c>
      <c r="K310" s="158"/>
      <c r="L310" s="51">
        <f t="shared" ref="L310:R310" si="155">L311+L331</f>
        <v>11444.685000000001</v>
      </c>
      <c r="M310" s="1553">
        <f t="shared" si="155"/>
        <v>14038.547</v>
      </c>
      <c r="N310" s="2450">
        <f>N311+N331+N325</f>
        <v>30534.840909999999</v>
      </c>
      <c r="O310" s="1958">
        <f t="shared" si="155"/>
        <v>5740</v>
      </c>
      <c r="P310" s="1944">
        <f t="shared" si="155"/>
        <v>5980</v>
      </c>
      <c r="Q310" s="1996">
        <f t="shared" si="155"/>
        <v>3908.3220000000001</v>
      </c>
      <c r="R310" s="1997">
        <f t="shared" si="155"/>
        <v>3021.3209999999999</v>
      </c>
      <c r="S310" s="84"/>
      <c r="T310" s="84"/>
      <c r="U310" s="84"/>
      <c r="V310" s="2450">
        <f>V311+V331</f>
        <v>1158.3</v>
      </c>
      <c r="W310" s="2521">
        <f>W311+W331</f>
        <v>1158.3</v>
      </c>
      <c r="X310" s="84"/>
      <c r="Z310" s="2141"/>
    </row>
    <row r="311" spans="1:26" s="83" customFormat="1" ht="13" x14ac:dyDescent="0.3">
      <c r="A311" s="85"/>
      <c r="B311" s="157" t="s">
        <v>1297</v>
      </c>
      <c r="C311" s="33"/>
      <c r="D311" s="33" t="s">
        <v>52</v>
      </c>
      <c r="E311" s="33" t="s">
        <v>58</v>
      </c>
      <c r="F311" s="33" t="s">
        <v>1296</v>
      </c>
      <c r="G311" s="33"/>
      <c r="H311" s="33"/>
      <c r="I311" s="33"/>
      <c r="J311" s="1061">
        <f>J312</f>
        <v>800</v>
      </c>
      <c r="K311" s="1063"/>
      <c r="L311" s="1063">
        <f>L313</f>
        <v>10777.685000000001</v>
      </c>
      <c r="M311" s="1550">
        <f>M313</f>
        <v>13305.547</v>
      </c>
      <c r="N311" s="2448">
        <f>N312</f>
        <v>27642.536039999999</v>
      </c>
      <c r="O311" s="1947">
        <f>O312</f>
        <v>0</v>
      </c>
      <c r="P311" s="1941">
        <f>P312</f>
        <v>0</v>
      </c>
      <c r="Q311" s="1987">
        <f>Q312</f>
        <v>1726.1220000000001</v>
      </c>
      <c r="R311" s="1988">
        <f>R312</f>
        <v>1726.1220000000001</v>
      </c>
      <c r="S311" s="84"/>
      <c r="T311" s="84"/>
      <c r="U311" s="84"/>
      <c r="V311" s="2448">
        <f>V312</f>
        <v>948.3</v>
      </c>
      <c r="W311" s="2522">
        <f>W312</f>
        <v>948.3</v>
      </c>
      <c r="X311" s="84"/>
      <c r="Z311" s="2141"/>
    </row>
    <row r="312" spans="1:26" s="83" customFormat="1" ht="26.5" customHeight="1" x14ac:dyDescent="0.3">
      <c r="A312" s="85"/>
      <c r="B312" s="1093" t="s">
        <v>1298</v>
      </c>
      <c r="C312" s="33"/>
      <c r="D312" s="33"/>
      <c r="E312" s="33"/>
      <c r="F312" s="33" t="s">
        <v>1295</v>
      </c>
      <c r="G312" s="89"/>
      <c r="H312" s="89"/>
      <c r="I312" s="33"/>
      <c r="J312" s="1061">
        <f>J316+J321+J324+J330</f>
        <v>800</v>
      </c>
      <c r="K312" s="1063"/>
      <c r="L312" s="1063"/>
      <c r="M312" s="1550"/>
      <c r="N312" s="2448">
        <f>N316+N321+N322</f>
        <v>27642.536039999999</v>
      </c>
      <c r="O312" s="1947">
        <f>O316+O321+O330</f>
        <v>0</v>
      </c>
      <c r="P312" s="1941">
        <f>P316+P321+P330</f>
        <v>0</v>
      </c>
      <c r="Q312" s="1987">
        <f>Q316+Q321+Q330</f>
        <v>1726.1220000000001</v>
      </c>
      <c r="R312" s="1988">
        <f>R316+R321+R330</f>
        <v>1726.1220000000001</v>
      </c>
      <c r="S312" s="84"/>
      <c r="T312" s="84"/>
      <c r="U312" s="84"/>
      <c r="V312" s="2448">
        <f>V316+V321+V330</f>
        <v>948.3</v>
      </c>
      <c r="W312" s="2522">
        <f>W316+W321+W330</f>
        <v>948.3</v>
      </c>
      <c r="X312" s="84"/>
      <c r="Z312" s="2141"/>
    </row>
    <row r="313" spans="1:26" s="83" customFormat="1" ht="13" hidden="1" x14ac:dyDescent="0.3">
      <c r="A313" s="85"/>
      <c r="B313" s="1098" t="s">
        <v>201</v>
      </c>
      <c r="C313" s="33"/>
      <c r="D313" s="33" t="s">
        <v>52</v>
      </c>
      <c r="E313" s="33" t="s">
        <v>58</v>
      </c>
      <c r="F313" s="33" t="s">
        <v>213</v>
      </c>
      <c r="G313" s="33"/>
      <c r="H313" s="33"/>
      <c r="I313" s="33"/>
      <c r="J313" s="1061">
        <f>J315</f>
        <v>0</v>
      </c>
      <c r="K313" s="1063"/>
      <c r="L313" s="1061">
        <f>L319</f>
        <v>10777.685000000001</v>
      </c>
      <c r="M313" s="1550">
        <f>M319</f>
        <v>13305.547</v>
      </c>
      <c r="N313" s="2448">
        <f>N315</f>
        <v>0</v>
      </c>
      <c r="O313" s="2230">
        <f>O315</f>
        <v>0</v>
      </c>
      <c r="P313" s="2231">
        <f>P315</f>
        <v>0</v>
      </c>
      <c r="Q313" s="2232">
        <f>Q315</f>
        <v>0</v>
      </c>
      <c r="R313" s="2233">
        <f>R315</f>
        <v>0</v>
      </c>
      <c r="S313" s="2234"/>
      <c r="T313" s="2234"/>
      <c r="U313" s="2234"/>
      <c r="V313" s="2448">
        <f>V315</f>
        <v>0</v>
      </c>
      <c r="W313" s="2522">
        <f>W315</f>
        <v>0</v>
      </c>
      <c r="X313" s="84"/>
      <c r="Z313" s="2141"/>
    </row>
    <row r="314" spans="1:26" s="83" customFormat="1" ht="26" hidden="1" x14ac:dyDescent="0.3">
      <c r="A314" s="85"/>
      <c r="B314" s="49" t="s">
        <v>1048</v>
      </c>
      <c r="C314" s="33"/>
      <c r="D314" s="33"/>
      <c r="E314" s="33"/>
      <c r="F314" s="33" t="s">
        <v>213</v>
      </c>
      <c r="G314" s="33" t="s">
        <v>955</v>
      </c>
      <c r="H314" s="33"/>
      <c r="I314" s="33"/>
      <c r="J314" s="1061"/>
      <c r="K314" s="1063"/>
      <c r="L314" s="1061"/>
      <c r="M314" s="1550"/>
      <c r="N314" s="2448">
        <f>N315</f>
        <v>0</v>
      </c>
      <c r="O314" s="2230"/>
      <c r="P314" s="2231"/>
      <c r="Q314" s="2232"/>
      <c r="R314" s="2233"/>
      <c r="S314" s="2234"/>
      <c r="T314" s="2234"/>
      <c r="U314" s="2234"/>
      <c r="V314" s="2448">
        <f>V315</f>
        <v>0</v>
      </c>
      <c r="W314" s="2522">
        <f>W315</f>
        <v>0</v>
      </c>
      <c r="X314" s="84"/>
      <c r="Z314" s="2141"/>
    </row>
    <row r="315" spans="1:26" s="83" customFormat="1" ht="26" hidden="1" x14ac:dyDescent="0.3">
      <c r="A315" s="85"/>
      <c r="B315" s="1993" t="s">
        <v>4</v>
      </c>
      <c r="C315" s="33"/>
      <c r="D315" s="33"/>
      <c r="E315" s="33"/>
      <c r="F315" s="33" t="s">
        <v>213</v>
      </c>
      <c r="G315" s="33" t="s">
        <v>1</v>
      </c>
      <c r="H315" s="33"/>
      <c r="I315" s="33"/>
      <c r="J315" s="1061">
        <f>J316</f>
        <v>0</v>
      </c>
      <c r="K315" s="1063"/>
      <c r="L315" s="1061"/>
      <c r="M315" s="1550"/>
      <c r="N315" s="2448">
        <v>0</v>
      </c>
      <c r="O315" s="2230">
        <f>O316</f>
        <v>0</v>
      </c>
      <c r="P315" s="2231">
        <f>P316</f>
        <v>0</v>
      </c>
      <c r="Q315" s="2232">
        <f>Q316</f>
        <v>0</v>
      </c>
      <c r="R315" s="2233">
        <f>R316</f>
        <v>0</v>
      </c>
      <c r="S315" s="2234"/>
      <c r="T315" s="2234"/>
      <c r="U315" s="2234"/>
      <c r="V315" s="2448">
        <f>V316</f>
        <v>0</v>
      </c>
      <c r="W315" s="2522">
        <f>W316</f>
        <v>0</v>
      </c>
      <c r="X315" s="84"/>
      <c r="Z315" s="2141"/>
    </row>
    <row r="316" spans="1:26" s="83" customFormat="1" ht="13" hidden="1" x14ac:dyDescent="0.3">
      <c r="A316" s="85"/>
      <c r="B316" s="744" t="s">
        <v>60</v>
      </c>
      <c r="C316" s="33"/>
      <c r="D316" s="33"/>
      <c r="E316" s="33"/>
      <c r="F316" s="33" t="s">
        <v>213</v>
      </c>
      <c r="G316" s="33" t="s">
        <v>1</v>
      </c>
      <c r="H316" s="9" t="s">
        <v>452</v>
      </c>
      <c r="I316" s="9" t="s">
        <v>539</v>
      </c>
      <c r="J316" s="1061"/>
      <c r="K316" s="1063"/>
      <c r="L316" s="1061"/>
      <c r="M316" s="1550"/>
      <c r="N316" s="2448">
        <v>0</v>
      </c>
      <c r="O316" s="2230"/>
      <c r="P316" s="2231"/>
      <c r="Q316" s="2232"/>
      <c r="R316" s="2233"/>
      <c r="S316" s="2234"/>
      <c r="T316" s="2234"/>
      <c r="U316" s="2234"/>
      <c r="V316" s="2448">
        <v>0</v>
      </c>
      <c r="W316" s="2522">
        <v>0</v>
      </c>
      <c r="X316" s="84"/>
      <c r="Z316" s="2141"/>
    </row>
    <row r="317" spans="1:26" s="83" customFormat="1" ht="26" hidden="1" x14ac:dyDescent="0.3">
      <c r="A317" s="85"/>
      <c r="B317" s="1098" t="s">
        <v>212</v>
      </c>
      <c r="C317" s="33"/>
      <c r="D317" s="33"/>
      <c r="E317" s="33"/>
      <c r="F317" s="33" t="s">
        <v>984</v>
      </c>
      <c r="G317" s="33"/>
      <c r="H317" s="33"/>
      <c r="I317" s="33"/>
      <c r="J317" s="1061">
        <f>J319</f>
        <v>800</v>
      </c>
      <c r="K317" s="1063"/>
      <c r="L317" s="1061"/>
      <c r="M317" s="1550"/>
      <c r="N317" s="2448">
        <f>N319</f>
        <v>0</v>
      </c>
      <c r="O317" s="1947">
        <f>O319</f>
        <v>0</v>
      </c>
      <c r="P317" s="1941">
        <f>P319</f>
        <v>0</v>
      </c>
      <c r="Q317" s="1987">
        <f>Q319</f>
        <v>1726.1220000000001</v>
      </c>
      <c r="R317" s="1988">
        <f>R319</f>
        <v>1726.1220000000001</v>
      </c>
      <c r="S317" s="84"/>
      <c r="T317" s="84"/>
      <c r="U317" s="84"/>
      <c r="V317" s="2448">
        <f>V319</f>
        <v>0</v>
      </c>
      <c r="W317" s="2522">
        <f>W319</f>
        <v>0</v>
      </c>
      <c r="X317" s="84"/>
      <c r="Z317" s="2141"/>
    </row>
    <row r="318" spans="1:26" s="83" customFormat="1" ht="26" hidden="1" x14ac:dyDescent="0.3">
      <c r="A318" s="85"/>
      <c r="B318" s="49" t="s">
        <v>1048</v>
      </c>
      <c r="C318" s="33"/>
      <c r="D318" s="33"/>
      <c r="E318" s="33"/>
      <c r="F318" s="33" t="s">
        <v>984</v>
      </c>
      <c r="G318" s="33" t="s">
        <v>955</v>
      </c>
      <c r="H318" s="33"/>
      <c r="I318" s="33"/>
      <c r="J318" s="1061"/>
      <c r="K318" s="1063"/>
      <c r="L318" s="1061"/>
      <c r="M318" s="1550"/>
      <c r="N318" s="2448">
        <f>N319</f>
        <v>0</v>
      </c>
      <c r="O318" s="1947"/>
      <c r="P318" s="1941"/>
      <c r="Q318" s="1987"/>
      <c r="R318" s="1988"/>
      <c r="S318" s="84"/>
      <c r="T318" s="84"/>
      <c r="U318" s="84"/>
      <c r="V318" s="2448">
        <f>V319</f>
        <v>0</v>
      </c>
      <c r="W318" s="2522">
        <f>W319</f>
        <v>0</v>
      </c>
      <c r="X318" s="84"/>
      <c r="Z318" s="2141"/>
    </row>
    <row r="319" spans="1:26" s="83" customFormat="1" ht="25.15" hidden="1" customHeight="1" x14ac:dyDescent="0.3">
      <c r="A319" s="85"/>
      <c r="B319" s="1993" t="s">
        <v>4</v>
      </c>
      <c r="C319" s="33"/>
      <c r="D319" s="33" t="s">
        <v>52</v>
      </c>
      <c r="E319" s="33" t="s">
        <v>58</v>
      </c>
      <c r="F319" s="33" t="s">
        <v>984</v>
      </c>
      <c r="G319" s="33" t="s">
        <v>1</v>
      </c>
      <c r="H319" s="33"/>
      <c r="I319" s="33"/>
      <c r="J319" s="1061">
        <f>J321</f>
        <v>800</v>
      </c>
      <c r="K319" s="1063"/>
      <c r="L319" s="1061">
        <f>22480.2-11702.515</f>
        <v>10777.685000000001</v>
      </c>
      <c r="M319" s="1550">
        <v>13305.547</v>
      </c>
      <c r="N319" s="2448">
        <f>N321</f>
        <v>0</v>
      </c>
      <c r="O319" s="1947">
        <f>O321</f>
        <v>0</v>
      </c>
      <c r="P319" s="1941">
        <f>P321</f>
        <v>0</v>
      </c>
      <c r="Q319" s="1987">
        <f>Q321</f>
        <v>1726.1220000000001</v>
      </c>
      <c r="R319" s="1988">
        <f>R321</f>
        <v>1726.1220000000001</v>
      </c>
      <c r="S319" s="84"/>
      <c r="T319" s="84"/>
      <c r="U319" s="84"/>
      <c r="V319" s="2448">
        <f>V321</f>
        <v>0</v>
      </c>
      <c r="W319" s="2522">
        <f>W321</f>
        <v>0</v>
      </c>
      <c r="X319" s="84"/>
      <c r="Z319" s="2141"/>
    </row>
    <row r="320" spans="1:26" s="83" customFormat="1" ht="52" hidden="1" x14ac:dyDescent="0.3">
      <c r="A320" s="85"/>
      <c r="B320" s="90" t="s">
        <v>211</v>
      </c>
      <c r="C320" s="89"/>
      <c r="D320" s="33" t="s">
        <v>52</v>
      </c>
      <c r="E320" s="33" t="s">
        <v>58</v>
      </c>
      <c r="F320" s="33" t="s">
        <v>210</v>
      </c>
      <c r="G320" s="89"/>
      <c r="H320" s="89"/>
      <c r="I320" s="33" t="s">
        <v>58</v>
      </c>
      <c r="J320" s="1063"/>
      <c r="K320" s="1063"/>
      <c r="L320" s="1063"/>
      <c r="M320" s="1125"/>
      <c r="N320" s="2448"/>
      <c r="O320" s="1947"/>
      <c r="P320" s="1941"/>
      <c r="Q320" s="1987"/>
      <c r="R320" s="1988"/>
      <c r="S320" s="84"/>
      <c r="T320" s="84"/>
      <c r="U320" s="84"/>
      <c r="V320" s="2448"/>
      <c r="W320" s="2522"/>
      <c r="X320" s="84"/>
      <c r="Z320" s="2141"/>
    </row>
    <row r="321" spans="1:26" s="83" customFormat="1" ht="13" hidden="1" x14ac:dyDescent="0.3">
      <c r="A321" s="85"/>
      <c r="B321" s="744" t="s">
        <v>60</v>
      </c>
      <c r="C321" s="89"/>
      <c r="D321" s="33"/>
      <c r="E321" s="33"/>
      <c r="F321" s="33" t="s">
        <v>984</v>
      </c>
      <c r="G321" s="33" t="s">
        <v>1</v>
      </c>
      <c r="H321" s="9" t="s">
        <v>452</v>
      </c>
      <c r="I321" s="9" t="s">
        <v>539</v>
      </c>
      <c r="J321" s="1061">
        <v>800</v>
      </c>
      <c r="K321" s="1063"/>
      <c r="L321" s="1061">
        <f>22480.2-11702.515</f>
        <v>10777.685000000001</v>
      </c>
      <c r="M321" s="1550">
        <v>13305.547</v>
      </c>
      <c r="N321" s="2448">
        <f>27642.53604-27642.53604</f>
        <v>0</v>
      </c>
      <c r="O321" s="1947"/>
      <c r="P321" s="1941"/>
      <c r="Q321" s="1987">
        <v>1726.1220000000001</v>
      </c>
      <c r="R321" s="1988">
        <v>1726.1220000000001</v>
      </c>
      <c r="S321" s="84"/>
      <c r="T321" s="84"/>
      <c r="U321" s="84"/>
      <c r="V321" s="2448">
        <v>0</v>
      </c>
      <c r="W321" s="2522">
        <v>0</v>
      </c>
      <c r="X321" s="84"/>
      <c r="Z321" s="2141"/>
    </row>
    <row r="322" spans="1:26" s="83" customFormat="1" ht="39" x14ac:dyDescent="0.3">
      <c r="A322" s="85"/>
      <c r="B322" s="1098" t="s">
        <v>1253</v>
      </c>
      <c r="C322" s="89"/>
      <c r="D322" s="33"/>
      <c r="E322" s="33"/>
      <c r="F322" s="33" t="s">
        <v>1294</v>
      </c>
      <c r="G322" s="33"/>
      <c r="H322" s="33"/>
      <c r="I322" s="33"/>
      <c r="J322" s="1061">
        <f>J323</f>
        <v>0</v>
      </c>
      <c r="K322" s="1063"/>
      <c r="L322" s="1061"/>
      <c r="M322" s="1550"/>
      <c r="N322" s="2448">
        <f t="shared" ref="N322:R323" si="156">N323</f>
        <v>27642.536039999999</v>
      </c>
      <c r="O322" s="1947">
        <f t="shared" si="156"/>
        <v>0</v>
      </c>
      <c r="P322" s="1941">
        <f t="shared" si="156"/>
        <v>0</v>
      </c>
      <c r="Q322" s="1987">
        <f t="shared" si="156"/>
        <v>0</v>
      </c>
      <c r="R322" s="1988">
        <f t="shared" si="156"/>
        <v>0</v>
      </c>
      <c r="S322" s="84"/>
      <c r="T322" s="84"/>
      <c r="U322" s="84"/>
      <c r="V322" s="2448">
        <f>V323</f>
        <v>0</v>
      </c>
      <c r="W322" s="2522">
        <f>W323</f>
        <v>0</v>
      </c>
      <c r="X322" s="84"/>
      <c r="Z322" s="2141"/>
    </row>
    <row r="323" spans="1:26" s="83" customFormat="1" ht="26" x14ac:dyDescent="0.3">
      <c r="A323" s="85"/>
      <c r="B323" s="1993" t="s">
        <v>4</v>
      </c>
      <c r="C323" s="89"/>
      <c r="D323" s="33"/>
      <c r="E323" s="33"/>
      <c r="F323" s="33" t="s">
        <v>1294</v>
      </c>
      <c r="G323" s="33" t="s">
        <v>1</v>
      </c>
      <c r="H323" s="33"/>
      <c r="I323" s="33"/>
      <c r="J323" s="1061">
        <f>J324</f>
        <v>0</v>
      </c>
      <c r="K323" s="1063"/>
      <c r="L323" s="1061"/>
      <c r="M323" s="1550"/>
      <c r="N323" s="2448">
        <f t="shared" si="156"/>
        <v>27642.536039999999</v>
      </c>
      <c r="O323" s="1947">
        <f t="shared" si="156"/>
        <v>0</v>
      </c>
      <c r="P323" s="1941">
        <f t="shared" si="156"/>
        <v>0</v>
      </c>
      <c r="Q323" s="1987">
        <f t="shared" si="156"/>
        <v>0</v>
      </c>
      <c r="R323" s="1988">
        <f t="shared" si="156"/>
        <v>0</v>
      </c>
      <c r="S323" s="84"/>
      <c r="T323" s="84"/>
      <c r="U323" s="84"/>
      <c r="V323" s="2448">
        <f>V324</f>
        <v>0</v>
      </c>
      <c r="W323" s="2522">
        <f>W324</f>
        <v>0</v>
      </c>
      <c r="X323" s="84"/>
      <c r="Z323" s="2141"/>
    </row>
    <row r="324" spans="1:26" s="83" customFormat="1" ht="13" x14ac:dyDescent="0.3">
      <c r="A324" s="85"/>
      <c r="B324" s="744" t="s">
        <v>60</v>
      </c>
      <c r="C324" s="89"/>
      <c r="D324" s="33"/>
      <c r="E324" s="33"/>
      <c r="F324" s="33" t="s">
        <v>1294</v>
      </c>
      <c r="G324" s="33" t="s">
        <v>1</v>
      </c>
      <c r="H324" s="33" t="s">
        <v>452</v>
      </c>
      <c r="I324" s="33" t="s">
        <v>539</v>
      </c>
      <c r="J324" s="1061"/>
      <c r="K324" s="1063"/>
      <c r="L324" s="1061"/>
      <c r="M324" s="1550"/>
      <c r="N324" s="2448">
        <f>27642.53604-948.3+948.3</f>
        <v>27642.536039999999</v>
      </c>
      <c r="O324" s="1947"/>
      <c r="P324" s="1941"/>
      <c r="Q324" s="1987"/>
      <c r="R324" s="1988"/>
      <c r="S324" s="84"/>
      <c r="T324" s="84"/>
      <c r="U324" s="84"/>
      <c r="V324" s="2448">
        <v>0</v>
      </c>
      <c r="W324" s="2522">
        <v>0</v>
      </c>
      <c r="X324" s="84"/>
      <c r="Z324" s="2141"/>
    </row>
    <row r="325" spans="1:26" s="83" customFormat="1" ht="13" x14ac:dyDescent="0.3">
      <c r="A325" s="85"/>
      <c r="B325" s="2056" t="s">
        <v>1263</v>
      </c>
      <c r="C325" s="89"/>
      <c r="D325" s="33"/>
      <c r="E325" s="33"/>
      <c r="F325" s="33" t="s">
        <v>1302</v>
      </c>
      <c r="G325" s="33"/>
      <c r="H325" s="33"/>
      <c r="I325" s="33"/>
      <c r="J325" s="1061"/>
      <c r="K325" s="1063"/>
      <c r="L325" s="1061"/>
      <c r="M325" s="1550"/>
      <c r="N325" s="2448">
        <f>N326</f>
        <v>2142.3048700000004</v>
      </c>
      <c r="O325" s="1947"/>
      <c r="P325" s="1941"/>
      <c r="Q325" s="1987"/>
      <c r="R325" s="1988"/>
      <c r="S325" s="84"/>
      <c r="T325" s="84"/>
      <c r="U325" s="84"/>
      <c r="V325" s="2448">
        <f t="shared" ref="V325:W326" si="157">V326</f>
        <v>0</v>
      </c>
      <c r="W325" s="2522">
        <f t="shared" si="157"/>
        <v>0</v>
      </c>
      <c r="X325" s="84"/>
      <c r="Z325" s="2141"/>
    </row>
    <row r="326" spans="1:26" s="83" customFormat="1" ht="54" customHeight="1" x14ac:dyDescent="0.3">
      <c r="A326" s="85"/>
      <c r="B326" s="336" t="s">
        <v>1301</v>
      </c>
      <c r="C326" s="89"/>
      <c r="D326" s="33"/>
      <c r="E326" s="33"/>
      <c r="F326" s="33" t="s">
        <v>1300</v>
      </c>
      <c r="G326" s="33"/>
      <c r="H326" s="33"/>
      <c r="I326" s="33"/>
      <c r="J326" s="1061"/>
      <c r="K326" s="1063"/>
      <c r="L326" s="1061"/>
      <c r="M326" s="1550"/>
      <c r="N326" s="2448">
        <f>N327</f>
        <v>2142.3048700000004</v>
      </c>
      <c r="O326" s="1947"/>
      <c r="P326" s="1941"/>
      <c r="Q326" s="1987"/>
      <c r="R326" s="1988"/>
      <c r="S326" s="84"/>
      <c r="T326" s="84"/>
      <c r="U326" s="84"/>
      <c r="V326" s="2448">
        <f t="shared" si="157"/>
        <v>0</v>
      </c>
      <c r="W326" s="2522">
        <f t="shared" si="157"/>
        <v>0</v>
      </c>
      <c r="X326" s="84"/>
      <c r="Z326" s="2141"/>
    </row>
    <row r="327" spans="1:26" s="83" customFormat="1" ht="13" x14ac:dyDescent="0.3">
      <c r="A327" s="85" t="s">
        <v>106</v>
      </c>
      <c r="B327" s="1098" t="s">
        <v>201</v>
      </c>
      <c r="C327" s="89"/>
      <c r="D327" s="33"/>
      <c r="E327" s="33"/>
      <c r="F327" s="33" t="s">
        <v>1299</v>
      </c>
      <c r="G327" s="33"/>
      <c r="H327" s="33"/>
      <c r="I327" s="33"/>
      <c r="J327" s="1061">
        <f>J329</f>
        <v>0</v>
      </c>
      <c r="K327" s="1063"/>
      <c r="L327" s="1061"/>
      <c r="M327" s="1550"/>
      <c r="N327" s="2448">
        <f>N329</f>
        <v>2142.3048700000004</v>
      </c>
      <c r="O327" s="1947">
        <f>O329</f>
        <v>0</v>
      </c>
      <c r="P327" s="1941">
        <f>P329</f>
        <v>0</v>
      </c>
      <c r="Q327" s="1987">
        <f>Q329</f>
        <v>0</v>
      </c>
      <c r="R327" s="1988">
        <f>R329</f>
        <v>0</v>
      </c>
      <c r="S327" s="84"/>
      <c r="T327" s="84"/>
      <c r="U327" s="84"/>
      <c r="V327" s="2448">
        <v>0</v>
      </c>
      <c r="W327" s="2522">
        <v>0</v>
      </c>
      <c r="X327" s="84"/>
      <c r="Z327" s="2141"/>
    </row>
    <row r="328" spans="1:26" s="83" customFormat="1" ht="26" x14ac:dyDescent="0.3">
      <c r="A328" s="85"/>
      <c r="B328" s="49" t="s">
        <v>1048</v>
      </c>
      <c r="C328" s="89"/>
      <c r="D328" s="33"/>
      <c r="E328" s="33"/>
      <c r="F328" s="33" t="s">
        <v>1299</v>
      </c>
      <c r="G328" s="33" t="s">
        <v>955</v>
      </c>
      <c r="H328" s="33"/>
      <c r="I328" s="33"/>
      <c r="J328" s="1061"/>
      <c r="K328" s="1063"/>
      <c r="L328" s="1061"/>
      <c r="M328" s="1550"/>
      <c r="N328" s="2448">
        <f>N329</f>
        <v>2142.3048700000004</v>
      </c>
      <c r="O328" s="1947"/>
      <c r="P328" s="1941"/>
      <c r="Q328" s="1987"/>
      <c r="R328" s="1988"/>
      <c r="S328" s="84"/>
      <c r="T328" s="84"/>
      <c r="U328" s="84"/>
      <c r="V328" s="2448">
        <f>V329</f>
        <v>948.3</v>
      </c>
      <c r="W328" s="2522">
        <f>W329</f>
        <v>948.3</v>
      </c>
      <c r="X328" s="84"/>
      <c r="Z328" s="2141"/>
    </row>
    <row r="329" spans="1:26" s="83" customFormat="1" ht="26" x14ac:dyDescent="0.3">
      <c r="A329" s="85"/>
      <c r="B329" s="1993" t="s">
        <v>4</v>
      </c>
      <c r="C329" s="89"/>
      <c r="D329" s="33"/>
      <c r="E329" s="33"/>
      <c r="F329" s="33" t="s">
        <v>1299</v>
      </c>
      <c r="G329" s="33" t="s">
        <v>1</v>
      </c>
      <c r="H329" s="33"/>
      <c r="I329" s="33"/>
      <c r="J329" s="1061">
        <f>J330</f>
        <v>0</v>
      </c>
      <c r="K329" s="1063"/>
      <c r="L329" s="1061"/>
      <c r="M329" s="1550"/>
      <c r="N329" s="2448">
        <f>N330</f>
        <v>2142.3048700000004</v>
      </c>
      <c r="O329" s="1947">
        <f>O330</f>
        <v>0</v>
      </c>
      <c r="P329" s="1941">
        <f>P330</f>
        <v>0</v>
      </c>
      <c r="Q329" s="1987">
        <f>Q330</f>
        <v>0</v>
      </c>
      <c r="R329" s="1988">
        <f>R330</f>
        <v>0</v>
      </c>
      <c r="S329" s="84"/>
      <c r="T329" s="84"/>
      <c r="U329" s="84"/>
      <c r="V329" s="2448">
        <f>V330</f>
        <v>948.3</v>
      </c>
      <c r="W329" s="2522">
        <f>W330</f>
        <v>948.3</v>
      </c>
      <c r="X329" s="84"/>
      <c r="Z329" s="2141"/>
    </row>
    <row r="330" spans="1:26" s="83" customFormat="1" ht="13" x14ac:dyDescent="0.3">
      <c r="A330" s="85"/>
      <c r="B330" s="744" t="s">
        <v>60</v>
      </c>
      <c r="C330" s="89"/>
      <c r="D330" s="33"/>
      <c r="E330" s="33"/>
      <c r="F330" s="33" t="s">
        <v>1299</v>
      </c>
      <c r="G330" s="33" t="s">
        <v>1</v>
      </c>
      <c r="H330" s="9" t="s">
        <v>452</v>
      </c>
      <c r="I330" s="9" t="s">
        <v>539</v>
      </c>
      <c r="J330" s="1061"/>
      <c r="K330" s="1063"/>
      <c r="L330" s="1061"/>
      <c r="M330" s="1550"/>
      <c r="N330" s="2448">
        <f>2000+948.3-948.3+142.30487</f>
        <v>2142.3048700000004</v>
      </c>
      <c r="O330" s="1947"/>
      <c r="P330" s="1941"/>
      <c r="Q330" s="1987"/>
      <c r="R330" s="1988"/>
      <c r="S330" s="84"/>
      <c r="T330" s="84"/>
      <c r="U330" s="84"/>
      <c r="V330" s="2448">
        <v>948.3</v>
      </c>
      <c r="W330" s="2522">
        <v>948.3</v>
      </c>
      <c r="X330" s="84"/>
      <c r="Z330" s="2141"/>
    </row>
    <row r="331" spans="1:26" s="83" customFormat="1" ht="24" customHeight="1" x14ac:dyDescent="0.3">
      <c r="A331" s="85"/>
      <c r="B331" s="157" t="s">
        <v>837</v>
      </c>
      <c r="C331" s="89"/>
      <c r="D331" s="33" t="s">
        <v>52</v>
      </c>
      <c r="E331" s="33" t="s">
        <v>58</v>
      </c>
      <c r="F331" s="33" t="s">
        <v>1302</v>
      </c>
      <c r="G331" s="33"/>
      <c r="H331" s="33"/>
      <c r="I331" s="33"/>
      <c r="J331" s="1063">
        <f>J332</f>
        <v>800</v>
      </c>
      <c r="K331" s="1063"/>
      <c r="L331" s="1063">
        <f>L332</f>
        <v>667</v>
      </c>
      <c r="M331" s="1125">
        <f>M332</f>
        <v>733</v>
      </c>
      <c r="N331" s="2448">
        <f>N332</f>
        <v>750</v>
      </c>
      <c r="O331" s="1947">
        <f>O335+O339</f>
        <v>5740</v>
      </c>
      <c r="P331" s="1941">
        <f>P335+P339</f>
        <v>5980</v>
      </c>
      <c r="Q331" s="1987">
        <f>Q335+Q339</f>
        <v>2182.1999999999998</v>
      </c>
      <c r="R331" s="1988">
        <f>R335+R339</f>
        <v>1295.1990000000001</v>
      </c>
      <c r="S331" s="84"/>
      <c r="T331" s="84"/>
      <c r="U331" s="84"/>
      <c r="V331" s="2448">
        <f>V332</f>
        <v>210</v>
      </c>
      <c r="W331" s="2522">
        <f>W332</f>
        <v>210</v>
      </c>
      <c r="X331" s="84"/>
      <c r="Z331" s="2141"/>
    </row>
    <row r="332" spans="1:26" s="83" customFormat="1" ht="26.5" customHeight="1" x14ac:dyDescent="0.3">
      <c r="A332" s="85"/>
      <c r="B332" s="1093" t="s">
        <v>1305</v>
      </c>
      <c r="C332" s="89"/>
      <c r="D332" s="33" t="s">
        <v>52</v>
      </c>
      <c r="E332" s="33" t="s">
        <v>58</v>
      </c>
      <c r="F332" s="33" t="s">
        <v>1304</v>
      </c>
      <c r="G332" s="88"/>
      <c r="H332" s="88"/>
      <c r="I332" s="33"/>
      <c r="J332" s="1063">
        <f>J336</f>
        <v>800</v>
      </c>
      <c r="K332" s="1063"/>
      <c r="L332" s="1063">
        <f>L338</f>
        <v>667</v>
      </c>
      <c r="M332" s="1125">
        <f>M338</f>
        <v>733</v>
      </c>
      <c r="N332" s="2448">
        <f>N335+N339</f>
        <v>750</v>
      </c>
      <c r="O332" s="1947">
        <f>O336</f>
        <v>500</v>
      </c>
      <c r="P332" s="1941">
        <f>P336</f>
        <v>600</v>
      </c>
      <c r="Q332" s="1987">
        <f>Q336+Q335</f>
        <v>2182.1999999999998</v>
      </c>
      <c r="R332" s="1988">
        <f>R336+R335</f>
        <v>1295.1990000000001</v>
      </c>
      <c r="S332" s="84"/>
      <c r="T332" s="84"/>
      <c r="U332" s="84"/>
      <c r="V332" s="2448">
        <f>V335+V339</f>
        <v>210</v>
      </c>
      <c r="W332" s="2522">
        <f>W335+W339</f>
        <v>210</v>
      </c>
      <c r="X332" s="84"/>
      <c r="Z332" s="2141"/>
    </row>
    <row r="333" spans="1:26" s="83" customFormat="1" ht="13" hidden="1" x14ac:dyDescent="0.3">
      <c r="A333" s="85"/>
      <c r="B333" s="1098" t="s">
        <v>201</v>
      </c>
      <c r="C333" s="89"/>
      <c r="D333" s="33"/>
      <c r="E333" s="33"/>
      <c r="F333" s="33" t="s">
        <v>200</v>
      </c>
      <c r="G333" s="88"/>
      <c r="H333" s="88"/>
      <c r="I333" s="33"/>
      <c r="J333" s="1063"/>
      <c r="K333" s="1063"/>
      <c r="L333" s="1063"/>
      <c r="M333" s="1125"/>
      <c r="N333" s="2448">
        <f t="shared" ref="N333:R334" si="158">N334</f>
        <v>0</v>
      </c>
      <c r="O333" s="1947">
        <f t="shared" si="158"/>
        <v>5240</v>
      </c>
      <c r="P333" s="1941">
        <f t="shared" si="158"/>
        <v>5380</v>
      </c>
      <c r="Q333" s="1987">
        <f t="shared" si="158"/>
        <v>1722.2</v>
      </c>
      <c r="R333" s="1988">
        <f t="shared" si="158"/>
        <v>775.19899999999996</v>
      </c>
      <c r="S333" s="84"/>
      <c r="T333" s="84"/>
      <c r="U333" s="84"/>
      <c r="V333" s="2448">
        <f>V334</f>
        <v>0</v>
      </c>
      <c r="W333" s="2522">
        <f>W334</f>
        <v>0</v>
      </c>
      <c r="X333" s="84"/>
      <c r="Z333" s="2141"/>
    </row>
    <row r="334" spans="1:26" s="83" customFormat="1" ht="26" hidden="1" x14ac:dyDescent="0.3">
      <c r="A334" s="85"/>
      <c r="B334" s="1993" t="s">
        <v>4</v>
      </c>
      <c r="C334" s="89"/>
      <c r="D334" s="33"/>
      <c r="E334" s="33"/>
      <c r="F334" s="33" t="s">
        <v>200</v>
      </c>
      <c r="G334" s="88">
        <v>240</v>
      </c>
      <c r="H334" s="88"/>
      <c r="I334" s="33"/>
      <c r="J334" s="1063"/>
      <c r="K334" s="1063"/>
      <c r="L334" s="1063"/>
      <c r="M334" s="1125"/>
      <c r="N334" s="2448">
        <f t="shared" si="158"/>
        <v>0</v>
      </c>
      <c r="O334" s="1947">
        <f t="shared" si="158"/>
        <v>5240</v>
      </c>
      <c r="P334" s="1941">
        <f t="shared" si="158"/>
        <v>5380</v>
      </c>
      <c r="Q334" s="1987">
        <f t="shared" si="158"/>
        <v>1722.2</v>
      </c>
      <c r="R334" s="1988">
        <f t="shared" si="158"/>
        <v>775.19899999999996</v>
      </c>
      <c r="S334" s="84"/>
      <c r="T334" s="84"/>
      <c r="U334" s="84"/>
      <c r="V334" s="2448">
        <f>V335</f>
        <v>0</v>
      </c>
      <c r="W334" s="2522">
        <f>W335</f>
        <v>0</v>
      </c>
      <c r="X334" s="84"/>
      <c r="Z334" s="2141"/>
    </row>
    <row r="335" spans="1:26" s="83" customFormat="1" ht="13" hidden="1" x14ac:dyDescent="0.3">
      <c r="A335" s="85"/>
      <c r="B335" s="744" t="s">
        <v>60</v>
      </c>
      <c r="C335" s="89"/>
      <c r="D335" s="33"/>
      <c r="E335" s="33"/>
      <c r="F335" s="33" t="s">
        <v>200</v>
      </c>
      <c r="G335" s="88">
        <v>240</v>
      </c>
      <c r="H335" s="9" t="s">
        <v>452</v>
      </c>
      <c r="I335" s="9" t="s">
        <v>539</v>
      </c>
      <c r="J335" s="1063"/>
      <c r="K335" s="1063"/>
      <c r="L335" s="1063"/>
      <c r="M335" s="1125"/>
      <c r="N335" s="2448"/>
      <c r="O335" s="1947">
        <v>5240</v>
      </c>
      <c r="P335" s="1941">
        <v>5380</v>
      </c>
      <c r="Q335" s="1987">
        <v>1722.2</v>
      </c>
      <c r="R335" s="1988">
        <v>775.19899999999996</v>
      </c>
      <c r="S335" s="84"/>
      <c r="T335" s="84"/>
      <c r="U335" s="84"/>
      <c r="V335" s="2448"/>
      <c r="W335" s="2522"/>
      <c r="X335" s="84"/>
      <c r="Z335" s="2141"/>
    </row>
    <row r="336" spans="1:26" s="83" customFormat="1" ht="26" x14ac:dyDescent="0.3">
      <c r="A336" s="85"/>
      <c r="B336" s="1098" t="s">
        <v>199</v>
      </c>
      <c r="C336" s="89"/>
      <c r="D336" s="33"/>
      <c r="E336" s="33"/>
      <c r="F336" s="33" t="s">
        <v>1303</v>
      </c>
      <c r="G336" s="88"/>
      <c r="H336" s="88"/>
      <c r="I336" s="33"/>
      <c r="J336" s="1063">
        <f>J338</f>
        <v>800</v>
      </c>
      <c r="K336" s="1063"/>
      <c r="L336" s="1063"/>
      <c r="M336" s="1125"/>
      <c r="N336" s="2448">
        <f>N338</f>
        <v>750</v>
      </c>
      <c r="O336" s="1947">
        <f>O338</f>
        <v>500</v>
      </c>
      <c r="P336" s="1941">
        <f>P338</f>
        <v>600</v>
      </c>
      <c r="Q336" s="1987">
        <f>Q338</f>
        <v>460</v>
      </c>
      <c r="R336" s="1988">
        <f>R338</f>
        <v>520</v>
      </c>
      <c r="S336" s="84"/>
      <c r="T336" s="84"/>
      <c r="U336" s="84"/>
      <c r="V336" s="2448">
        <f>V338</f>
        <v>210</v>
      </c>
      <c r="W336" s="2522">
        <f>W338</f>
        <v>210</v>
      </c>
      <c r="X336" s="84"/>
      <c r="Z336" s="2141"/>
    </row>
    <row r="337" spans="1:256" s="83" customFormat="1" ht="26" x14ac:dyDescent="0.3">
      <c r="A337" s="85"/>
      <c r="B337" s="49" t="s">
        <v>1048</v>
      </c>
      <c r="C337" s="89"/>
      <c r="D337" s="33"/>
      <c r="E337" s="33"/>
      <c r="F337" s="33" t="s">
        <v>1303</v>
      </c>
      <c r="G337" s="88">
        <v>200</v>
      </c>
      <c r="H337" s="88"/>
      <c r="I337" s="33"/>
      <c r="J337" s="1063"/>
      <c r="K337" s="1063"/>
      <c r="L337" s="1063"/>
      <c r="M337" s="1125"/>
      <c r="N337" s="2448">
        <f>N338</f>
        <v>750</v>
      </c>
      <c r="O337" s="1947"/>
      <c r="P337" s="1941"/>
      <c r="Q337" s="1987"/>
      <c r="R337" s="1988"/>
      <c r="S337" s="84"/>
      <c r="T337" s="84"/>
      <c r="U337" s="84"/>
      <c r="V337" s="2448">
        <f>V338</f>
        <v>210</v>
      </c>
      <c r="W337" s="2522">
        <f>W338</f>
        <v>210</v>
      </c>
      <c r="X337" s="84"/>
      <c r="Z337" s="2141"/>
    </row>
    <row r="338" spans="1:256" s="83" customFormat="1" ht="25.15" customHeight="1" x14ac:dyDescent="0.3">
      <c r="A338" s="85"/>
      <c r="B338" s="1993" t="s">
        <v>4</v>
      </c>
      <c r="C338" s="89"/>
      <c r="D338" s="33" t="s">
        <v>52</v>
      </c>
      <c r="E338" s="33" t="s">
        <v>58</v>
      </c>
      <c r="F338" s="33" t="s">
        <v>1303</v>
      </c>
      <c r="G338" s="88">
        <v>240</v>
      </c>
      <c r="H338" s="88"/>
      <c r="I338" s="33"/>
      <c r="J338" s="1063">
        <f>J339</f>
        <v>800</v>
      </c>
      <c r="K338" s="1063"/>
      <c r="L338" s="1063">
        <v>667</v>
      </c>
      <c r="M338" s="1125">
        <v>733</v>
      </c>
      <c r="N338" s="2448">
        <f>N339</f>
        <v>750</v>
      </c>
      <c r="O338" s="1947">
        <f>O339</f>
        <v>500</v>
      </c>
      <c r="P338" s="1941">
        <f>P339</f>
        <v>600</v>
      </c>
      <c r="Q338" s="1987">
        <f>Q339</f>
        <v>460</v>
      </c>
      <c r="R338" s="1988">
        <f>R339</f>
        <v>520</v>
      </c>
      <c r="S338" s="84"/>
      <c r="T338" s="84"/>
      <c r="U338" s="84"/>
      <c r="V338" s="2448">
        <f>V339</f>
        <v>210</v>
      </c>
      <c r="W338" s="2522">
        <f>W339</f>
        <v>210</v>
      </c>
      <c r="X338" s="84"/>
      <c r="Z338" s="2141"/>
    </row>
    <row r="339" spans="1:256" s="83" customFormat="1" ht="13" x14ac:dyDescent="0.3">
      <c r="A339" s="85"/>
      <c r="B339" s="744" t="s">
        <v>60</v>
      </c>
      <c r="C339" s="89"/>
      <c r="D339" s="33"/>
      <c r="E339" s="33"/>
      <c r="F339" s="33" t="s">
        <v>1303</v>
      </c>
      <c r="G339" s="88">
        <v>240</v>
      </c>
      <c r="H339" s="9" t="s">
        <v>452</v>
      </c>
      <c r="I339" s="9" t="s">
        <v>539</v>
      </c>
      <c r="J339" s="1063">
        <v>800</v>
      </c>
      <c r="K339" s="1063"/>
      <c r="L339" s="1063">
        <v>667</v>
      </c>
      <c r="M339" s="1125">
        <v>733</v>
      </c>
      <c r="N339" s="2448">
        <v>750</v>
      </c>
      <c r="O339" s="1947">
        <v>500</v>
      </c>
      <c r="P339" s="1941">
        <v>600</v>
      </c>
      <c r="Q339" s="1987">
        <v>460</v>
      </c>
      <c r="R339" s="1988">
        <v>520</v>
      </c>
      <c r="S339" s="84"/>
      <c r="T339" s="84"/>
      <c r="U339" s="84"/>
      <c r="V339" s="2448">
        <v>210</v>
      </c>
      <c r="W339" s="2522">
        <v>210</v>
      </c>
      <c r="X339" s="84"/>
      <c r="Z339" s="2141"/>
    </row>
    <row r="340" spans="1:256" ht="39" x14ac:dyDescent="0.25">
      <c r="A340" s="156">
        <v>6</v>
      </c>
      <c r="B340" s="155" t="s">
        <v>884</v>
      </c>
      <c r="C340" s="152"/>
      <c r="D340" s="154" t="s">
        <v>15</v>
      </c>
      <c r="E340" s="152" t="s">
        <v>13</v>
      </c>
      <c r="F340" s="152" t="s">
        <v>196</v>
      </c>
      <c r="G340" s="153"/>
      <c r="H340" s="153"/>
      <c r="I340" s="152"/>
      <c r="J340" s="150">
        <f>J351</f>
        <v>3497.6120000000001</v>
      </c>
      <c r="K340" s="151"/>
      <c r="L340" s="150">
        <f>L352</f>
        <v>4000</v>
      </c>
      <c r="M340" s="1559">
        <f>M352</f>
        <v>0</v>
      </c>
      <c r="N340" s="2483">
        <f>N341+N350</f>
        <v>7342.42</v>
      </c>
      <c r="O340" s="2014">
        <f>O351</f>
        <v>48</v>
      </c>
      <c r="P340" s="2014">
        <f>P351</f>
        <v>816.12</v>
      </c>
      <c r="Q340" s="2015">
        <f>Q351</f>
        <v>4981.808</v>
      </c>
      <c r="R340" s="2016">
        <f>R351+R364</f>
        <v>5143</v>
      </c>
      <c r="V340" s="2483">
        <f>V356+V364</f>
        <v>2391.92</v>
      </c>
      <c r="W340" s="2526">
        <f>W356+W364</f>
        <v>0</v>
      </c>
    </row>
    <row r="341" spans="1:256" ht="13" x14ac:dyDescent="0.25">
      <c r="A341" s="156"/>
      <c r="B341" s="58" t="s">
        <v>1263</v>
      </c>
      <c r="C341" s="152"/>
      <c r="D341" s="154"/>
      <c r="E341" s="152"/>
      <c r="F341" s="532" t="s">
        <v>1351</v>
      </c>
      <c r="G341" s="153"/>
      <c r="H341" s="153"/>
      <c r="I341" s="152"/>
      <c r="J341" s="150"/>
      <c r="K341" s="151"/>
      <c r="L341" s="150"/>
      <c r="M341" s="1559"/>
      <c r="N341" s="3003">
        <f>N342</f>
        <v>1390</v>
      </c>
      <c r="O341" s="2014"/>
      <c r="P341" s="2014"/>
      <c r="Q341" s="2015"/>
      <c r="R341" s="2016"/>
      <c r="V341" s="2971">
        <f t="shared" ref="V341:W343" si="159">V342</f>
        <v>0</v>
      </c>
      <c r="W341" s="2975">
        <f t="shared" si="159"/>
        <v>0</v>
      </c>
    </row>
    <row r="342" spans="1:256" ht="13" x14ac:dyDescent="0.25">
      <c r="A342" s="156"/>
      <c r="B342" s="3002" t="s">
        <v>1354</v>
      </c>
      <c r="C342" s="152"/>
      <c r="D342" s="154"/>
      <c r="E342" s="152"/>
      <c r="F342" s="532" t="s">
        <v>1352</v>
      </c>
      <c r="G342" s="153"/>
      <c r="H342" s="153"/>
      <c r="I342" s="152"/>
      <c r="J342" s="150"/>
      <c r="K342" s="151"/>
      <c r="L342" s="150"/>
      <c r="M342" s="1559"/>
      <c r="N342" s="3003">
        <f>N343</f>
        <v>1390</v>
      </c>
      <c r="O342" s="2014"/>
      <c r="P342" s="2014"/>
      <c r="Q342" s="2015"/>
      <c r="R342" s="2016"/>
      <c r="V342" s="2971">
        <f t="shared" si="159"/>
        <v>0</v>
      </c>
      <c r="W342" s="2975">
        <f t="shared" si="159"/>
        <v>0</v>
      </c>
    </row>
    <row r="343" spans="1:256" ht="21" x14ac:dyDescent="0.25">
      <c r="A343" s="156"/>
      <c r="B343" s="1242" t="s">
        <v>1252</v>
      </c>
      <c r="C343" s="152"/>
      <c r="D343" s="154"/>
      <c r="E343" s="152"/>
      <c r="F343" s="532" t="s">
        <v>1353</v>
      </c>
      <c r="G343" s="153"/>
      <c r="H343" s="153"/>
      <c r="I343" s="152"/>
      <c r="J343" s="150"/>
      <c r="K343" s="151"/>
      <c r="L343" s="150"/>
      <c r="M343" s="1559"/>
      <c r="N343" s="3003">
        <f>N346+N349</f>
        <v>1390</v>
      </c>
      <c r="O343" s="2014"/>
      <c r="P343" s="2014"/>
      <c r="Q343" s="2015"/>
      <c r="R343" s="2016"/>
      <c r="V343" s="2971">
        <f t="shared" si="159"/>
        <v>0</v>
      </c>
      <c r="W343" s="2975">
        <f t="shared" si="159"/>
        <v>0</v>
      </c>
      <c r="AC343" s="1">
        <v>0</v>
      </c>
    </row>
    <row r="344" spans="1:256" ht="13" hidden="1" x14ac:dyDescent="0.25">
      <c r="A344" s="156"/>
      <c r="B344" s="753" t="s">
        <v>948</v>
      </c>
      <c r="C344" s="152"/>
      <c r="D344" s="154"/>
      <c r="E344" s="152"/>
      <c r="F344" s="532" t="s">
        <v>1353</v>
      </c>
      <c r="G344" s="3005" t="s">
        <v>955</v>
      </c>
      <c r="H344" s="2026"/>
      <c r="I344" s="2026"/>
      <c r="J344" s="150"/>
      <c r="K344" s="151"/>
      <c r="L344" s="150"/>
      <c r="M344" s="1559"/>
      <c r="N344" s="3003">
        <f>N346</f>
        <v>0</v>
      </c>
      <c r="O344" s="2014"/>
      <c r="P344" s="2014"/>
      <c r="Q344" s="2015"/>
      <c r="R344" s="2016"/>
      <c r="V344" s="2971">
        <f>V346</f>
        <v>0</v>
      </c>
      <c r="W344" s="2975">
        <f>W346</f>
        <v>0</v>
      </c>
    </row>
    <row r="345" spans="1:256" ht="13" hidden="1" x14ac:dyDescent="0.25">
      <c r="A345" s="156"/>
      <c r="B345" s="1182" t="s">
        <v>454</v>
      </c>
      <c r="C345" s="152"/>
      <c r="D345" s="154"/>
      <c r="E345" s="152"/>
      <c r="F345" s="532" t="s">
        <v>1353</v>
      </c>
      <c r="G345" s="3006" t="s">
        <v>1</v>
      </c>
      <c r="H345" s="2026"/>
      <c r="I345" s="2026"/>
      <c r="J345" s="150"/>
      <c r="K345" s="151"/>
      <c r="L345" s="150"/>
      <c r="M345" s="1559"/>
      <c r="N345" s="3003">
        <f>N346</f>
        <v>0</v>
      </c>
      <c r="O345" s="2014"/>
      <c r="P345" s="2014"/>
      <c r="Q345" s="2015"/>
      <c r="R345" s="2016"/>
      <c r="V345" s="2971">
        <f>V346</f>
        <v>0</v>
      </c>
      <c r="W345" s="2975">
        <f>W346</f>
        <v>0</v>
      </c>
    </row>
    <row r="346" spans="1:256" ht="13" hidden="1" x14ac:dyDescent="0.25">
      <c r="A346" s="156"/>
      <c r="B346" s="58" t="s">
        <v>39</v>
      </c>
      <c r="C346" s="152"/>
      <c r="D346" s="154"/>
      <c r="E346" s="152"/>
      <c r="F346" s="532" t="s">
        <v>1353</v>
      </c>
      <c r="G346" s="3006" t="s">
        <v>1</v>
      </c>
      <c r="H346" s="2026" t="s">
        <v>463</v>
      </c>
      <c r="I346" s="2026" t="s">
        <v>488</v>
      </c>
      <c r="J346" s="150"/>
      <c r="K346" s="151"/>
      <c r="L346" s="150"/>
      <c r="M346" s="1559"/>
      <c r="N346" s="3003"/>
      <c r="O346" s="2014"/>
      <c r="P346" s="2014"/>
      <c r="Q346" s="2015"/>
      <c r="R346" s="2016"/>
      <c r="V346" s="2971">
        <v>0</v>
      </c>
      <c r="W346" s="2975">
        <v>0</v>
      </c>
    </row>
    <row r="347" spans="1:256" ht="16.5" customHeight="1" x14ac:dyDescent="0.25">
      <c r="A347" s="156"/>
      <c r="B347" s="144" t="s">
        <v>1061</v>
      </c>
      <c r="C347" s="152"/>
      <c r="D347" s="154"/>
      <c r="E347" s="152"/>
      <c r="F347" s="532" t="s">
        <v>1353</v>
      </c>
      <c r="G347" s="3009" t="s">
        <v>1060</v>
      </c>
      <c r="H347" s="3010"/>
      <c r="I347" s="3010"/>
      <c r="J347" s="150"/>
      <c r="K347" s="151"/>
      <c r="L347" s="150"/>
      <c r="M347" s="1559"/>
      <c r="N347" s="3011">
        <f>N348</f>
        <v>1390</v>
      </c>
      <c r="O347" s="2014"/>
      <c r="P347" s="2014"/>
      <c r="Q347" s="2015"/>
      <c r="R347" s="2016"/>
      <c r="V347" s="2971">
        <v>0</v>
      </c>
      <c r="W347" s="2975">
        <v>0</v>
      </c>
    </row>
    <row r="348" spans="1:256" ht="13" x14ac:dyDescent="0.25">
      <c r="A348" s="156"/>
      <c r="B348" s="58" t="s">
        <v>28</v>
      </c>
      <c r="C348" s="152"/>
      <c r="D348" s="154"/>
      <c r="E348" s="152"/>
      <c r="F348" s="532" t="s">
        <v>1353</v>
      </c>
      <c r="G348" s="3009" t="s">
        <v>26</v>
      </c>
      <c r="H348" s="3010"/>
      <c r="I348" s="3010"/>
      <c r="J348" s="150"/>
      <c r="K348" s="151"/>
      <c r="L348" s="150"/>
      <c r="M348" s="1559"/>
      <c r="N348" s="3011">
        <f>N349</f>
        <v>1390</v>
      </c>
      <c r="O348" s="2014"/>
      <c r="P348" s="2014"/>
      <c r="Q348" s="2015"/>
      <c r="R348" s="2016"/>
      <c r="V348" s="2971">
        <v>0</v>
      </c>
      <c r="W348" s="2975">
        <v>0</v>
      </c>
    </row>
    <row r="349" spans="1:256" ht="13" x14ac:dyDescent="0.25">
      <c r="A349" s="156"/>
      <c r="B349" s="2990" t="s">
        <v>39</v>
      </c>
      <c r="C349" s="152"/>
      <c r="D349" s="154"/>
      <c r="E349" s="152"/>
      <c r="F349" s="532" t="s">
        <v>1353</v>
      </c>
      <c r="G349" s="3009" t="s">
        <v>26</v>
      </c>
      <c r="H349" s="3010" t="s">
        <v>463</v>
      </c>
      <c r="I349" s="3010" t="s">
        <v>488</v>
      </c>
      <c r="J349" s="150"/>
      <c r="K349" s="151"/>
      <c r="L349" s="150"/>
      <c r="M349" s="1559"/>
      <c r="N349" s="3011">
        <f>1250+140</f>
        <v>1390</v>
      </c>
      <c r="O349" s="2014"/>
      <c r="P349" s="2014"/>
      <c r="Q349" s="2015"/>
      <c r="R349" s="2016"/>
      <c r="V349" s="2971">
        <v>0</v>
      </c>
      <c r="W349" s="2975">
        <v>0</v>
      </c>
    </row>
    <row r="350" spans="1:256" ht="13" x14ac:dyDescent="0.25">
      <c r="A350" s="156"/>
      <c r="B350" s="2990" t="s">
        <v>1297</v>
      </c>
      <c r="C350" s="152"/>
      <c r="D350" s="154"/>
      <c r="E350" s="152"/>
      <c r="F350" s="9" t="s">
        <v>1309</v>
      </c>
      <c r="G350" s="153"/>
      <c r="H350" s="153"/>
      <c r="I350" s="152"/>
      <c r="J350" s="150"/>
      <c r="K350" s="151"/>
      <c r="L350" s="150"/>
      <c r="M350" s="1559"/>
      <c r="N350" s="2971">
        <f>N351</f>
        <v>5952.42</v>
      </c>
      <c r="O350" s="2972"/>
      <c r="P350" s="2972"/>
      <c r="Q350" s="2973"/>
      <c r="R350" s="2974"/>
      <c r="V350" s="2971">
        <f>V351</f>
        <v>2391.92</v>
      </c>
      <c r="W350" s="2975">
        <f>W351</f>
        <v>0</v>
      </c>
    </row>
    <row r="351" spans="1:256" s="2" customFormat="1" ht="40.5" customHeight="1" x14ac:dyDescent="0.25">
      <c r="A351" s="1099"/>
      <c r="B351" s="1092" t="s">
        <v>1308</v>
      </c>
      <c r="C351" s="1092"/>
      <c r="D351" s="1092"/>
      <c r="E351" s="1092"/>
      <c r="F351" s="9" t="s">
        <v>1307</v>
      </c>
      <c r="G351" s="1092"/>
      <c r="H351" s="1092"/>
      <c r="I351" s="1092"/>
      <c r="J351" s="1100">
        <f>J352</f>
        <v>3497.6120000000001</v>
      </c>
      <c r="K351" s="1092"/>
      <c r="L351" s="1092"/>
      <c r="M351" s="1560"/>
      <c r="N351" s="2451">
        <f>N352+N364</f>
        <v>5952.42</v>
      </c>
      <c r="O351" s="2017">
        <f t="shared" ref="O351:Q351" si="160">O352</f>
        <v>48</v>
      </c>
      <c r="P351" s="2018">
        <f t="shared" si="160"/>
        <v>816.12</v>
      </c>
      <c r="Q351" s="2019">
        <f t="shared" si="160"/>
        <v>4981.808</v>
      </c>
      <c r="R351" s="2020">
        <f>R352</f>
        <v>3543</v>
      </c>
      <c r="S351" s="1102"/>
      <c r="T351" s="1102"/>
      <c r="U351" s="1102"/>
      <c r="V351" s="2451">
        <f>V352+V364</f>
        <v>2391.92</v>
      </c>
      <c r="W351" s="2524">
        <f>W352+W364</f>
        <v>0</v>
      </c>
      <c r="X351" s="1102"/>
      <c r="Y351" s="1102"/>
      <c r="Z351" s="2143"/>
      <c r="AA351" s="1102"/>
      <c r="AB351" s="1102"/>
      <c r="AC351" s="1102"/>
      <c r="AD351" s="1102"/>
      <c r="AE351" s="1102"/>
      <c r="AF351" s="1102"/>
      <c r="AG351" s="1102"/>
      <c r="AH351" s="1102"/>
      <c r="AI351" s="1102"/>
      <c r="AJ351" s="1102"/>
      <c r="AK351" s="1102"/>
      <c r="AL351" s="1102"/>
      <c r="AM351" s="1102"/>
      <c r="AN351" s="1102"/>
      <c r="AO351" s="1102"/>
      <c r="AP351" s="1102"/>
      <c r="AQ351" s="1102"/>
      <c r="AR351" s="1102"/>
      <c r="AS351" s="1102"/>
      <c r="AT351" s="1102"/>
      <c r="AU351" s="1102"/>
      <c r="AV351" s="1102"/>
      <c r="AW351" s="1102"/>
      <c r="AX351" s="1102"/>
      <c r="AY351" s="1102"/>
      <c r="AZ351" s="1102"/>
      <c r="BA351" s="1102"/>
      <c r="BB351" s="1102"/>
      <c r="BC351" s="1102"/>
      <c r="BD351" s="1102"/>
      <c r="BE351" s="1102"/>
      <c r="BF351" s="1102"/>
      <c r="BG351" s="1102"/>
      <c r="BH351" s="1102"/>
      <c r="BI351" s="1102"/>
      <c r="BJ351" s="1102"/>
      <c r="BK351" s="1102"/>
      <c r="BL351" s="1102"/>
      <c r="BM351" s="1102"/>
      <c r="BN351" s="1102"/>
      <c r="BO351" s="1102"/>
      <c r="BP351" s="1102"/>
      <c r="BQ351" s="1102"/>
      <c r="BR351" s="1102"/>
      <c r="BS351" s="1102"/>
      <c r="BT351" s="1102"/>
      <c r="BU351" s="1102"/>
      <c r="BV351" s="1102"/>
      <c r="BW351" s="1102"/>
      <c r="BX351" s="1102"/>
      <c r="BY351" s="1102"/>
      <c r="BZ351" s="1102"/>
      <c r="CA351" s="1102"/>
      <c r="CB351" s="1102"/>
      <c r="CC351" s="1102"/>
      <c r="CD351" s="1102"/>
      <c r="CE351" s="1102"/>
      <c r="CF351" s="1102"/>
      <c r="CG351" s="1102"/>
      <c r="CH351" s="1102"/>
      <c r="CI351" s="1102"/>
      <c r="CJ351" s="1102"/>
      <c r="CK351" s="1102"/>
      <c r="CL351" s="1102"/>
      <c r="CM351" s="1102"/>
      <c r="CN351" s="1102"/>
      <c r="CO351" s="1102"/>
      <c r="CP351" s="1102"/>
      <c r="CQ351" s="1102"/>
      <c r="CR351" s="1102"/>
      <c r="CS351" s="1102"/>
      <c r="CT351" s="1102"/>
      <c r="CU351" s="1102"/>
      <c r="CV351" s="1102"/>
      <c r="CW351" s="1102"/>
      <c r="CX351" s="1102"/>
      <c r="CY351" s="1102"/>
      <c r="CZ351" s="1102"/>
      <c r="DA351" s="1102"/>
      <c r="DB351" s="1102"/>
      <c r="DC351" s="1102"/>
      <c r="DD351" s="1102"/>
      <c r="DE351" s="1102"/>
      <c r="DF351" s="1102"/>
      <c r="DG351" s="1102"/>
      <c r="DH351" s="1102"/>
      <c r="DI351" s="1102"/>
      <c r="DJ351" s="1102"/>
      <c r="DK351" s="1102"/>
      <c r="DL351" s="1102"/>
      <c r="DM351" s="1102"/>
      <c r="DN351" s="1102"/>
      <c r="DO351" s="1102"/>
      <c r="DP351" s="1102"/>
      <c r="DQ351" s="1102"/>
      <c r="DR351" s="1102"/>
      <c r="DS351" s="1102"/>
      <c r="DT351" s="1102"/>
      <c r="DU351" s="1102"/>
      <c r="DV351" s="1102"/>
      <c r="DW351" s="1102"/>
      <c r="DX351" s="1102"/>
      <c r="DY351" s="1102"/>
      <c r="DZ351" s="1102"/>
      <c r="EA351" s="1102"/>
      <c r="EB351" s="1102"/>
      <c r="EC351" s="1102"/>
      <c r="ED351" s="1102"/>
      <c r="EE351" s="1102"/>
      <c r="EF351" s="1102"/>
      <c r="EG351" s="1102"/>
      <c r="EH351" s="1102"/>
      <c r="EI351" s="1102"/>
      <c r="EJ351" s="1102"/>
      <c r="EK351" s="1102"/>
      <c r="EL351" s="1102"/>
      <c r="EM351" s="1102"/>
      <c r="EN351" s="1102"/>
      <c r="EO351" s="1102"/>
      <c r="EP351" s="1102"/>
      <c r="EQ351" s="1102"/>
      <c r="ER351" s="1102"/>
      <c r="ES351" s="1102"/>
      <c r="ET351" s="1102"/>
      <c r="EU351" s="1102"/>
      <c r="EV351" s="1102"/>
      <c r="EW351" s="1102"/>
      <c r="EX351" s="1102"/>
      <c r="EY351" s="1102"/>
      <c r="EZ351" s="1102"/>
      <c r="FA351" s="1102"/>
      <c r="FB351" s="1102"/>
      <c r="FC351" s="1102"/>
      <c r="FD351" s="1102"/>
      <c r="FE351" s="1102"/>
      <c r="FF351" s="1102"/>
      <c r="FG351" s="1102"/>
      <c r="FH351" s="1102"/>
      <c r="FI351" s="1102"/>
      <c r="FJ351" s="1102"/>
      <c r="FK351" s="1102"/>
      <c r="FL351" s="1102"/>
      <c r="FM351" s="1102"/>
      <c r="FN351" s="1102"/>
      <c r="FO351" s="1102"/>
      <c r="FP351" s="1102"/>
      <c r="FQ351" s="1102"/>
      <c r="FR351" s="1102"/>
      <c r="FS351" s="1102"/>
      <c r="FT351" s="1102"/>
      <c r="FU351" s="1102"/>
      <c r="FV351" s="1102"/>
      <c r="FW351" s="1102"/>
      <c r="FX351" s="1102"/>
      <c r="FY351" s="1102"/>
      <c r="FZ351" s="1102"/>
      <c r="GA351" s="1102"/>
      <c r="GB351" s="1102"/>
      <c r="GC351" s="1102"/>
      <c r="GD351" s="1102"/>
      <c r="GE351" s="1102"/>
      <c r="GF351" s="1102"/>
      <c r="GG351" s="1102"/>
      <c r="GH351" s="1102"/>
      <c r="GI351" s="1102"/>
      <c r="GJ351" s="1102"/>
      <c r="GK351" s="1102"/>
      <c r="GL351" s="1102"/>
      <c r="GM351" s="1102"/>
      <c r="GN351" s="1102"/>
      <c r="GO351" s="1102"/>
      <c r="GP351" s="1102"/>
      <c r="GQ351" s="1102"/>
      <c r="GR351" s="1102"/>
      <c r="GS351" s="1102"/>
      <c r="GT351" s="1102"/>
      <c r="GU351" s="1102"/>
      <c r="GV351" s="1102"/>
      <c r="GW351" s="1102"/>
      <c r="GX351" s="1102"/>
      <c r="GY351" s="1102"/>
      <c r="GZ351" s="1102"/>
      <c r="HA351" s="1102"/>
      <c r="HB351" s="1102"/>
      <c r="HC351" s="1102"/>
      <c r="HD351" s="1102"/>
      <c r="HE351" s="1102"/>
      <c r="HF351" s="1102"/>
      <c r="HG351" s="1102"/>
      <c r="HH351" s="1102"/>
      <c r="HI351" s="1102"/>
      <c r="HJ351" s="1102"/>
      <c r="HK351" s="1102"/>
      <c r="HL351" s="1102"/>
      <c r="HM351" s="1102"/>
      <c r="HN351" s="1102"/>
      <c r="HO351" s="1102"/>
      <c r="HP351" s="1102"/>
      <c r="HQ351" s="1102"/>
      <c r="HR351" s="1102"/>
      <c r="HS351" s="1102"/>
      <c r="HT351" s="1102"/>
      <c r="HU351" s="1102"/>
      <c r="HV351" s="1102"/>
      <c r="HW351" s="1102"/>
      <c r="HX351" s="1102"/>
      <c r="HY351" s="1102"/>
      <c r="HZ351" s="1102"/>
      <c r="IA351" s="1102"/>
      <c r="IB351" s="1102"/>
      <c r="IC351" s="1102"/>
      <c r="ID351" s="1102"/>
      <c r="IE351" s="1102"/>
      <c r="IF351" s="1102"/>
      <c r="IG351" s="1102"/>
      <c r="IH351" s="1102"/>
      <c r="II351" s="1102"/>
      <c r="IJ351" s="1102"/>
      <c r="IK351" s="1102"/>
      <c r="IL351" s="1102"/>
      <c r="IM351" s="1102"/>
      <c r="IN351" s="1102"/>
      <c r="IO351" s="1102"/>
      <c r="IP351" s="1102"/>
      <c r="IQ351" s="1102"/>
      <c r="IR351" s="1102"/>
      <c r="IS351" s="1102"/>
      <c r="IT351" s="1102"/>
      <c r="IU351" s="1102"/>
      <c r="IV351" s="1102"/>
    </row>
    <row r="352" spans="1:256" ht="46.5" hidden="1" customHeight="1" x14ac:dyDescent="0.25">
      <c r="A352" s="145"/>
      <c r="B352" s="144" t="s">
        <v>1191</v>
      </c>
      <c r="C352" s="142"/>
      <c r="D352" s="143" t="s">
        <v>15</v>
      </c>
      <c r="E352" s="142" t="s">
        <v>13</v>
      </c>
      <c r="F352" s="142" t="s">
        <v>191</v>
      </c>
      <c r="G352" s="142"/>
      <c r="H352" s="142"/>
      <c r="I352" s="142"/>
      <c r="J352" s="1103">
        <f>J354</f>
        <v>3497.6120000000001</v>
      </c>
      <c r="K352" s="1104"/>
      <c r="L352" s="1104">
        <f t="shared" ref="L352:R352" si="161">L354</f>
        <v>4000</v>
      </c>
      <c r="M352" s="1561">
        <f t="shared" si="161"/>
        <v>0</v>
      </c>
      <c r="N352" s="2449">
        <f>N354+N360</f>
        <v>0</v>
      </c>
      <c r="O352" s="2022">
        <f t="shared" si="161"/>
        <v>48</v>
      </c>
      <c r="P352" s="2023">
        <f t="shared" si="161"/>
        <v>816.12</v>
      </c>
      <c r="Q352" s="2024">
        <f t="shared" si="161"/>
        <v>4981.808</v>
      </c>
      <c r="R352" s="2025">
        <f t="shared" si="161"/>
        <v>3543</v>
      </c>
      <c r="V352" s="2449">
        <f t="shared" ref="V352:W352" si="162">V354</f>
        <v>0</v>
      </c>
      <c r="W352" s="2527">
        <f t="shared" si="162"/>
        <v>0</v>
      </c>
    </row>
    <row r="353" spans="1:23" ht="0.75" hidden="1" customHeight="1" x14ac:dyDescent="0.25">
      <c r="A353" s="145"/>
      <c r="B353" s="49" t="s">
        <v>1048</v>
      </c>
      <c r="C353" s="142"/>
      <c r="D353" s="143"/>
      <c r="E353" s="142"/>
      <c r="F353" s="142" t="s">
        <v>191</v>
      </c>
      <c r="G353" s="142" t="s">
        <v>955</v>
      </c>
      <c r="H353" s="142"/>
      <c r="I353" s="142"/>
      <c r="J353" s="1103"/>
      <c r="K353" s="1104"/>
      <c r="L353" s="1104"/>
      <c r="M353" s="1561"/>
      <c r="N353" s="2449">
        <f>N354</f>
        <v>0</v>
      </c>
      <c r="O353" s="2022"/>
      <c r="P353" s="2023"/>
      <c r="Q353" s="2024"/>
      <c r="R353" s="2025"/>
      <c r="V353" s="2449">
        <f>V354</f>
        <v>0</v>
      </c>
      <c r="W353" s="2527">
        <f>W354</f>
        <v>0</v>
      </c>
    </row>
    <row r="354" spans="1:23" ht="59.25" hidden="1" customHeight="1" x14ac:dyDescent="0.25">
      <c r="A354" s="32"/>
      <c r="B354" s="1993" t="s">
        <v>4</v>
      </c>
      <c r="C354" s="9"/>
      <c r="D354" s="88" t="s">
        <v>15</v>
      </c>
      <c r="E354" s="9" t="s">
        <v>13</v>
      </c>
      <c r="F354" s="9" t="s">
        <v>191</v>
      </c>
      <c r="G354" s="9" t="s">
        <v>1</v>
      </c>
      <c r="H354" s="9"/>
      <c r="I354" s="9"/>
      <c r="J354" s="1061">
        <f>J356</f>
        <v>3497.6120000000001</v>
      </c>
      <c r="K354" s="1075"/>
      <c r="L354" s="1066">
        <v>4000</v>
      </c>
      <c r="M354" s="1552"/>
      <c r="N354" s="2448">
        <f>N356</f>
        <v>0</v>
      </c>
      <c r="O354" s="1947">
        <f>O356</f>
        <v>48</v>
      </c>
      <c r="P354" s="1941">
        <f>P356</f>
        <v>816.12</v>
      </c>
      <c r="Q354" s="1987">
        <f>Q356</f>
        <v>4981.808</v>
      </c>
      <c r="R354" s="1988">
        <f>R356</f>
        <v>3543</v>
      </c>
      <c r="V354" s="2448">
        <f>V356</f>
        <v>0</v>
      </c>
      <c r="W354" s="2522">
        <f>W356</f>
        <v>0</v>
      </c>
    </row>
    <row r="355" spans="1:23" ht="54.75" hidden="1" customHeight="1" x14ac:dyDescent="0.25">
      <c r="A355" s="32"/>
      <c r="B355" s="58" t="s">
        <v>192</v>
      </c>
      <c r="C355" s="9"/>
      <c r="D355" s="88" t="s">
        <v>15</v>
      </c>
      <c r="E355" s="9" t="s">
        <v>13</v>
      </c>
      <c r="F355" s="9" t="s">
        <v>191</v>
      </c>
      <c r="G355" s="9"/>
      <c r="H355" s="9"/>
      <c r="I355" s="9" t="s">
        <v>13</v>
      </c>
      <c r="J355" s="1065"/>
      <c r="K355" s="1065"/>
      <c r="L355" s="1065"/>
      <c r="M355" s="1552"/>
      <c r="N355" s="2450"/>
      <c r="O355" s="1994"/>
      <c r="P355" s="1939"/>
      <c r="Q355" s="1995"/>
      <c r="R355" s="1985"/>
      <c r="V355" s="2450"/>
      <c r="W355" s="2521"/>
    </row>
    <row r="356" spans="1:23" ht="36" hidden="1" customHeight="1" x14ac:dyDescent="0.25">
      <c r="A356" s="32"/>
      <c r="B356" s="58" t="s">
        <v>39</v>
      </c>
      <c r="C356" s="9"/>
      <c r="D356" s="88"/>
      <c r="E356" s="9"/>
      <c r="F356" s="9" t="s">
        <v>191</v>
      </c>
      <c r="G356" s="9" t="s">
        <v>1</v>
      </c>
      <c r="H356" s="9" t="s">
        <v>463</v>
      </c>
      <c r="I356" s="9" t="s">
        <v>488</v>
      </c>
      <c r="J356" s="1061">
        <v>3497.6120000000001</v>
      </c>
      <c r="K356" s="1065"/>
      <c r="L356" s="1065"/>
      <c r="M356" s="1552"/>
      <c r="N356" s="2448">
        <v>0</v>
      </c>
      <c r="O356" s="1947">
        <v>48</v>
      </c>
      <c r="P356" s="1941">
        <v>816.12</v>
      </c>
      <c r="Q356" s="1987">
        <v>4981.808</v>
      </c>
      <c r="R356" s="1988">
        <f>3700-157</f>
        <v>3543</v>
      </c>
      <c r="V356" s="2448">
        <v>0</v>
      </c>
      <c r="W356" s="2522">
        <v>0</v>
      </c>
    </row>
    <row r="357" spans="1:23" ht="50.25" hidden="1" customHeight="1" x14ac:dyDescent="0.25">
      <c r="A357" s="32"/>
      <c r="B357" s="144"/>
      <c r="C357" s="9"/>
      <c r="D357" s="88"/>
      <c r="E357" s="9"/>
      <c r="F357" s="9" t="s">
        <v>191</v>
      </c>
      <c r="G357" s="9"/>
      <c r="H357" s="9"/>
      <c r="I357" s="9"/>
      <c r="J357" s="1061"/>
      <c r="K357" s="1065"/>
      <c r="L357" s="1065"/>
      <c r="M357" s="1552"/>
      <c r="N357" s="2448"/>
      <c r="O357" s="1947"/>
      <c r="P357" s="1941"/>
      <c r="Q357" s="1987"/>
      <c r="R357" s="1988"/>
      <c r="V357" s="2448"/>
      <c r="W357" s="2522"/>
    </row>
    <row r="358" spans="1:23" ht="39" hidden="1" customHeight="1" x14ac:dyDescent="0.25">
      <c r="A358" s="32"/>
      <c r="B358" s="144" t="s">
        <v>1061</v>
      </c>
      <c r="C358" s="9"/>
      <c r="D358" s="88"/>
      <c r="E358" s="9"/>
      <c r="F358" s="9" t="s">
        <v>191</v>
      </c>
      <c r="G358" s="9" t="s">
        <v>1060</v>
      </c>
      <c r="H358" s="9"/>
      <c r="I358" s="9"/>
      <c r="J358" s="1061"/>
      <c r="K358" s="1065"/>
      <c r="L358" s="1065"/>
      <c r="M358" s="1552"/>
      <c r="N358" s="2448">
        <f>N359</f>
        <v>0</v>
      </c>
      <c r="O358" s="1947"/>
      <c r="P358" s="1941"/>
      <c r="Q358" s="1987"/>
      <c r="R358" s="1988"/>
      <c r="V358" s="2448">
        <f>V359</f>
        <v>0</v>
      </c>
      <c r="W358" s="2522">
        <f>W359</f>
        <v>0</v>
      </c>
    </row>
    <row r="359" spans="1:23" ht="72" hidden="1" customHeight="1" x14ac:dyDescent="0.25">
      <c r="A359" s="32"/>
      <c r="B359" s="58" t="s">
        <v>28</v>
      </c>
      <c r="C359" s="9"/>
      <c r="D359" s="88"/>
      <c r="E359" s="9"/>
      <c r="F359" s="9" t="s">
        <v>191</v>
      </c>
      <c r="G359" s="9" t="s">
        <v>26</v>
      </c>
      <c r="H359" s="9"/>
      <c r="I359" s="9"/>
      <c r="J359" s="1061"/>
      <c r="K359" s="1065"/>
      <c r="L359" s="1065"/>
      <c r="M359" s="1552"/>
      <c r="N359" s="2448">
        <f>N360</f>
        <v>0</v>
      </c>
      <c r="O359" s="1947"/>
      <c r="P359" s="1941"/>
      <c r="Q359" s="1987"/>
      <c r="R359" s="1988"/>
      <c r="V359" s="2448">
        <f>V360</f>
        <v>0</v>
      </c>
      <c r="W359" s="2522">
        <f>W360</f>
        <v>0</v>
      </c>
    </row>
    <row r="360" spans="1:23" ht="113.25" hidden="1" customHeight="1" x14ac:dyDescent="0.25">
      <c r="A360" s="32"/>
      <c r="B360" s="58" t="s">
        <v>39</v>
      </c>
      <c r="C360" s="9"/>
      <c r="D360" s="88"/>
      <c r="E360" s="9"/>
      <c r="F360" s="9" t="s">
        <v>191</v>
      </c>
      <c r="G360" s="9" t="s">
        <v>26</v>
      </c>
      <c r="H360" s="9" t="s">
        <v>463</v>
      </c>
      <c r="I360" s="9" t="s">
        <v>488</v>
      </c>
      <c r="J360" s="1061"/>
      <c r="K360" s="1065"/>
      <c r="L360" s="1065"/>
      <c r="M360" s="1552"/>
      <c r="N360" s="2448">
        <v>0</v>
      </c>
      <c r="O360" s="1947"/>
      <c r="P360" s="1941"/>
      <c r="Q360" s="1987"/>
      <c r="R360" s="1988"/>
      <c r="V360" s="2448">
        <v>0</v>
      </c>
      <c r="W360" s="2522">
        <v>0</v>
      </c>
    </row>
    <row r="361" spans="1:23" ht="39.65" customHeight="1" x14ac:dyDescent="0.25">
      <c r="A361" s="32"/>
      <c r="B361" s="144" t="s">
        <v>1252</v>
      </c>
      <c r="C361" s="9"/>
      <c r="D361" s="88"/>
      <c r="E361" s="9"/>
      <c r="F361" s="2026" t="s">
        <v>1306</v>
      </c>
      <c r="G361" s="9"/>
      <c r="H361" s="9"/>
      <c r="I361" s="9"/>
      <c r="J361" s="1061"/>
      <c r="K361" s="1065"/>
      <c r="L361" s="1065"/>
      <c r="M361" s="1552"/>
      <c r="N361" s="2448">
        <f>N363</f>
        <v>5952.42</v>
      </c>
      <c r="O361" s="1947"/>
      <c r="P361" s="1941"/>
      <c r="Q361" s="1987"/>
      <c r="R361" s="1988">
        <f>R363</f>
        <v>1600</v>
      </c>
      <c r="V361" s="2448">
        <f>V363</f>
        <v>2391.92</v>
      </c>
      <c r="W361" s="2522">
        <f>W363</f>
        <v>0</v>
      </c>
    </row>
    <row r="362" spans="1:23" ht="26" x14ac:dyDescent="0.25">
      <c r="A362" s="32"/>
      <c r="B362" s="144" t="s">
        <v>1061</v>
      </c>
      <c r="C362" s="9"/>
      <c r="D362" s="88"/>
      <c r="E362" s="9"/>
      <c r="F362" s="2026" t="s">
        <v>1306</v>
      </c>
      <c r="G362" s="9" t="s">
        <v>1060</v>
      </c>
      <c r="H362" s="9"/>
      <c r="I362" s="9"/>
      <c r="J362" s="1061"/>
      <c r="K362" s="1065"/>
      <c r="L362" s="1065"/>
      <c r="M362" s="1552"/>
      <c r="N362" s="2448">
        <f>N363</f>
        <v>5952.42</v>
      </c>
      <c r="O362" s="1947"/>
      <c r="P362" s="1941"/>
      <c r="Q362" s="1987"/>
      <c r="R362" s="1988"/>
      <c r="V362" s="2448">
        <f>V363</f>
        <v>2391.92</v>
      </c>
      <c r="W362" s="2522">
        <f>W363</f>
        <v>0</v>
      </c>
    </row>
    <row r="363" spans="1:23" ht="13" x14ac:dyDescent="0.25">
      <c r="A363" s="32"/>
      <c r="B363" s="58" t="s">
        <v>28</v>
      </c>
      <c r="C363" s="9"/>
      <c r="D363" s="88"/>
      <c r="E363" s="9"/>
      <c r="F363" s="2026" t="s">
        <v>1306</v>
      </c>
      <c r="G363" s="9" t="s">
        <v>26</v>
      </c>
      <c r="H363" s="9"/>
      <c r="I363" s="9"/>
      <c r="J363" s="1061"/>
      <c r="K363" s="1065"/>
      <c r="L363" s="1065"/>
      <c r="M363" s="1552"/>
      <c r="N363" s="2448">
        <f>N364</f>
        <v>5952.42</v>
      </c>
      <c r="O363" s="1947"/>
      <c r="P363" s="1941"/>
      <c r="Q363" s="1987"/>
      <c r="R363" s="1988">
        <f>R364</f>
        <v>1600</v>
      </c>
      <c r="V363" s="2448">
        <f>V364</f>
        <v>2391.92</v>
      </c>
      <c r="W363" s="2522">
        <f>W364</f>
        <v>0</v>
      </c>
    </row>
    <row r="364" spans="1:23" ht="13" x14ac:dyDescent="0.25">
      <c r="A364" s="32"/>
      <c r="B364" s="58" t="s">
        <v>39</v>
      </c>
      <c r="C364" s="9"/>
      <c r="D364" s="88"/>
      <c r="E364" s="9"/>
      <c r="F364" s="2026" t="s">
        <v>1306</v>
      </c>
      <c r="G364" s="9" t="s">
        <v>26</v>
      </c>
      <c r="H364" s="9" t="s">
        <v>463</v>
      </c>
      <c r="I364" s="9" t="s">
        <v>488</v>
      </c>
      <c r="J364" s="1061"/>
      <c r="K364" s="1065"/>
      <c r="L364" s="1065"/>
      <c r="M364" s="1552"/>
      <c r="N364" s="2448">
        <f>6092.42-140</f>
        <v>5952.42</v>
      </c>
      <c r="O364" s="1947"/>
      <c r="P364" s="1941"/>
      <c r="Q364" s="1987"/>
      <c r="R364" s="1988">
        <f>1443+157</f>
        <v>1600</v>
      </c>
      <c r="V364" s="2448">
        <v>2391.92</v>
      </c>
      <c r="W364" s="2522">
        <v>0</v>
      </c>
    </row>
    <row r="365" spans="1:23" ht="42" customHeight="1" x14ac:dyDescent="0.25">
      <c r="A365" s="91">
        <v>7</v>
      </c>
      <c r="B365" s="132" t="s">
        <v>915</v>
      </c>
      <c r="C365" s="9"/>
      <c r="D365" s="34" t="s">
        <v>15</v>
      </c>
      <c r="E365" s="34" t="s">
        <v>32</v>
      </c>
      <c r="F365" s="34" t="s">
        <v>189</v>
      </c>
      <c r="G365" s="131"/>
      <c r="H365" s="131"/>
      <c r="I365" s="34"/>
      <c r="J365" s="51">
        <f>J367</f>
        <v>7617.2000000000007</v>
      </c>
      <c r="K365" s="131"/>
      <c r="L365" s="51">
        <f>L368+L372</f>
        <v>7617.2</v>
      </c>
      <c r="M365" s="1562">
        <f>M368+M372</f>
        <v>7463.8</v>
      </c>
      <c r="N365" s="2450">
        <f>N367+N377</f>
        <v>34995.63953</v>
      </c>
      <c r="O365" s="1958">
        <f>O367</f>
        <v>32518.875</v>
      </c>
      <c r="P365" s="1944">
        <f>P367</f>
        <v>31004.17</v>
      </c>
      <c r="Q365" s="1996">
        <f>Q367</f>
        <v>33058.639999999999</v>
      </c>
      <c r="R365" s="1997">
        <f>R367</f>
        <v>34696.880000000005</v>
      </c>
      <c r="V365" s="2450">
        <f>V371+V376+V381</f>
        <v>37398.813560000002</v>
      </c>
      <c r="W365" s="2521">
        <f>W367+W377</f>
        <v>38451.370000000003</v>
      </c>
    </row>
    <row r="366" spans="1:23" ht="23.15" customHeight="1" x14ac:dyDescent="0.25">
      <c r="A366" s="91"/>
      <c r="B366" s="58" t="s">
        <v>1263</v>
      </c>
      <c r="C366" s="9"/>
      <c r="D366" s="34"/>
      <c r="E366" s="34"/>
      <c r="F366" s="9" t="s">
        <v>1313</v>
      </c>
      <c r="G366" s="131"/>
      <c r="H366" s="131"/>
      <c r="I366" s="34"/>
      <c r="J366" s="51"/>
      <c r="K366" s="131"/>
      <c r="L366" s="51"/>
      <c r="M366" s="1562"/>
      <c r="N366" s="2448">
        <f>N367</f>
        <v>34995.63953</v>
      </c>
      <c r="O366" s="1958"/>
      <c r="P366" s="1944"/>
      <c r="Q366" s="1996"/>
      <c r="R366" s="1997"/>
      <c r="V366" s="2448">
        <f>V367</f>
        <v>37328.813560000002</v>
      </c>
      <c r="W366" s="2522">
        <f>W367</f>
        <v>38381.370000000003</v>
      </c>
    </row>
    <row r="367" spans="1:23" ht="45" customHeight="1" x14ac:dyDescent="0.25">
      <c r="A367" s="91"/>
      <c r="B367" s="1098" t="s">
        <v>1312</v>
      </c>
      <c r="C367" s="9"/>
      <c r="D367" s="34"/>
      <c r="E367" s="34"/>
      <c r="F367" s="9" t="s">
        <v>1311</v>
      </c>
      <c r="G367" s="131"/>
      <c r="H367" s="131"/>
      <c r="I367" s="34"/>
      <c r="J367" s="47">
        <f>J368+J372</f>
        <v>7617.2000000000007</v>
      </c>
      <c r="K367" s="131"/>
      <c r="L367" s="51"/>
      <c r="M367" s="1562"/>
      <c r="N367" s="2448">
        <f>N371+N376+N381</f>
        <v>34995.63953</v>
      </c>
      <c r="O367" s="2027">
        <f>O368+O372</f>
        <v>32518.875</v>
      </c>
      <c r="P367" s="1950">
        <f>P368+P372</f>
        <v>31004.17</v>
      </c>
      <c r="Q367" s="2028">
        <f>Q368+Q372</f>
        <v>33058.639999999999</v>
      </c>
      <c r="R367" s="2029">
        <f>R368+R372</f>
        <v>34696.880000000005</v>
      </c>
      <c r="V367" s="2448">
        <f>V371+V376</f>
        <v>37328.813560000002</v>
      </c>
      <c r="W367" s="2522">
        <f>W371+W376</f>
        <v>38381.370000000003</v>
      </c>
    </row>
    <row r="368" spans="1:23" ht="39" x14ac:dyDescent="0.25">
      <c r="A368" s="32"/>
      <c r="B368" s="49" t="s">
        <v>186</v>
      </c>
      <c r="C368" s="9"/>
      <c r="D368" s="34" t="s">
        <v>15</v>
      </c>
      <c r="E368" s="34" t="s">
        <v>32</v>
      </c>
      <c r="F368" s="9" t="s">
        <v>1310</v>
      </c>
      <c r="G368" s="9"/>
      <c r="H368" s="9"/>
      <c r="I368" s="34"/>
      <c r="J368" s="1061">
        <f>J370</f>
        <v>5253.4660000000003</v>
      </c>
      <c r="K368" s="1065"/>
      <c r="L368" s="1065">
        <f t="shared" ref="L368:R368" si="163">L370</f>
        <v>5406.2</v>
      </c>
      <c r="M368" s="1552">
        <f t="shared" si="163"/>
        <v>5230.3</v>
      </c>
      <c r="N368" s="2448">
        <f t="shared" si="163"/>
        <v>900</v>
      </c>
      <c r="O368" s="1947">
        <f t="shared" si="163"/>
        <v>10043.379999999999</v>
      </c>
      <c r="P368" s="1941">
        <f t="shared" si="163"/>
        <v>6288.7259999999997</v>
      </c>
      <c r="Q368" s="1987">
        <f t="shared" si="163"/>
        <v>2500</v>
      </c>
      <c r="R368" s="1988">
        <f t="shared" si="163"/>
        <v>2800</v>
      </c>
      <c r="V368" s="2448">
        <f t="shared" ref="V368:W368" si="164">V370</f>
        <v>2924.5650000000001</v>
      </c>
      <c r="W368" s="2522">
        <f t="shared" si="164"/>
        <v>950</v>
      </c>
    </row>
    <row r="369" spans="1:256" ht="26" x14ac:dyDescent="0.25">
      <c r="A369" s="32"/>
      <c r="B369" s="49" t="s">
        <v>1048</v>
      </c>
      <c r="C369" s="9"/>
      <c r="D369" s="34"/>
      <c r="E369" s="34"/>
      <c r="F369" s="9" t="s">
        <v>1310</v>
      </c>
      <c r="G369" s="9" t="s">
        <v>955</v>
      </c>
      <c r="H369" s="9"/>
      <c r="I369" s="34"/>
      <c r="J369" s="1061"/>
      <c r="K369" s="1065"/>
      <c r="L369" s="1065"/>
      <c r="M369" s="1552"/>
      <c r="N369" s="2448">
        <f>N370</f>
        <v>900</v>
      </c>
      <c r="O369" s="1947"/>
      <c r="P369" s="1941"/>
      <c r="Q369" s="1987"/>
      <c r="R369" s="1988"/>
      <c r="V369" s="2448">
        <f>V370</f>
        <v>2924.5650000000001</v>
      </c>
      <c r="W369" s="2522">
        <f>W370</f>
        <v>950</v>
      </c>
    </row>
    <row r="370" spans="1:256" ht="25.15" customHeight="1" x14ac:dyDescent="0.25">
      <c r="A370" s="32"/>
      <c r="B370" s="1993" t="s">
        <v>4</v>
      </c>
      <c r="C370" s="9"/>
      <c r="D370" s="9" t="s">
        <v>15</v>
      </c>
      <c r="E370" s="9" t="s">
        <v>32</v>
      </c>
      <c r="F370" s="9" t="s">
        <v>1310</v>
      </c>
      <c r="G370" s="9" t="s">
        <v>1</v>
      </c>
      <c r="H370" s="9"/>
      <c r="I370" s="9"/>
      <c r="J370" s="1061">
        <f>J371</f>
        <v>5253.4660000000003</v>
      </c>
      <c r="K370" s="1065"/>
      <c r="L370" s="1061">
        <v>5406.2</v>
      </c>
      <c r="M370" s="1550">
        <v>5230.3</v>
      </c>
      <c r="N370" s="2448">
        <f>N371</f>
        <v>900</v>
      </c>
      <c r="O370" s="1947">
        <f>O371</f>
        <v>10043.379999999999</v>
      </c>
      <c r="P370" s="1941">
        <f>P371</f>
        <v>6288.7259999999997</v>
      </c>
      <c r="Q370" s="1987">
        <f>Q371</f>
        <v>2500</v>
      </c>
      <c r="R370" s="1988">
        <f>R371</f>
        <v>2800</v>
      </c>
      <c r="V370" s="2448">
        <f>V371</f>
        <v>2924.5650000000001</v>
      </c>
      <c r="W370" s="2522">
        <f>W371</f>
        <v>950</v>
      </c>
    </row>
    <row r="371" spans="1:256" ht="13" x14ac:dyDescent="0.3">
      <c r="A371" s="32"/>
      <c r="B371" s="744" t="s">
        <v>34</v>
      </c>
      <c r="C371" s="9"/>
      <c r="D371" s="9"/>
      <c r="E371" s="9"/>
      <c r="F371" s="9" t="s">
        <v>1310</v>
      </c>
      <c r="G371" s="9" t="s">
        <v>1</v>
      </c>
      <c r="H371" s="9" t="s">
        <v>463</v>
      </c>
      <c r="I371" s="9" t="s">
        <v>495</v>
      </c>
      <c r="J371" s="1061">
        <v>5253.4660000000003</v>
      </c>
      <c r="K371" s="1065"/>
      <c r="L371" s="1061"/>
      <c r="M371" s="1550"/>
      <c r="N371" s="2448">
        <v>900</v>
      </c>
      <c r="O371" s="1947">
        <v>10043.379999999999</v>
      </c>
      <c r="P371" s="1941">
        <v>6288.7259999999997</v>
      </c>
      <c r="Q371" s="2030">
        <v>2500</v>
      </c>
      <c r="R371" s="2031">
        <v>2800</v>
      </c>
      <c r="V371" s="2448">
        <f>2800+124.565</f>
        <v>2924.5650000000001</v>
      </c>
      <c r="W371" s="2522">
        <v>950</v>
      </c>
    </row>
    <row r="372" spans="1:256" ht="39" x14ac:dyDescent="0.25">
      <c r="A372" s="32"/>
      <c r="B372" s="49" t="s">
        <v>184</v>
      </c>
      <c r="C372" s="9"/>
      <c r="D372" s="34" t="s">
        <v>15</v>
      </c>
      <c r="E372" s="34" t="s">
        <v>32</v>
      </c>
      <c r="F372" s="9" t="s">
        <v>1314</v>
      </c>
      <c r="G372" s="9"/>
      <c r="H372" s="9"/>
      <c r="I372" s="34"/>
      <c r="J372" s="1061">
        <f>J374</f>
        <v>2363.7339999999999</v>
      </c>
      <c r="K372" s="1064"/>
      <c r="L372" s="1064">
        <f>L374</f>
        <v>2211</v>
      </c>
      <c r="M372" s="1563">
        <f>M374</f>
        <v>2233.5</v>
      </c>
      <c r="N372" s="2448">
        <f>N374</f>
        <v>33759.84953</v>
      </c>
      <c r="O372" s="1947">
        <f>O374</f>
        <v>22475.494999999999</v>
      </c>
      <c r="P372" s="1941">
        <f>P374</f>
        <v>24715.444</v>
      </c>
      <c r="Q372" s="1987">
        <f>Q374+Q378</f>
        <v>30558.639999999999</v>
      </c>
      <c r="R372" s="1988">
        <f>R374+R378</f>
        <v>31896.880000000001</v>
      </c>
      <c r="V372" s="2448">
        <f>V374</f>
        <v>34404.24856</v>
      </c>
      <c r="W372" s="2522">
        <f>W374</f>
        <v>37431.370000000003</v>
      </c>
    </row>
    <row r="373" spans="1:256" ht="26" x14ac:dyDescent="0.25">
      <c r="A373" s="32"/>
      <c r="B373" s="49" t="s">
        <v>1048</v>
      </c>
      <c r="C373" s="9"/>
      <c r="D373" s="34"/>
      <c r="E373" s="34"/>
      <c r="F373" s="9" t="s">
        <v>1314</v>
      </c>
      <c r="G373" s="9" t="s">
        <v>955</v>
      </c>
      <c r="H373" s="9"/>
      <c r="I373" s="34"/>
      <c r="J373" s="1061"/>
      <c r="K373" s="1064"/>
      <c r="L373" s="1064"/>
      <c r="M373" s="1563"/>
      <c r="N373" s="2448">
        <f>N374</f>
        <v>33759.84953</v>
      </c>
      <c r="O373" s="1947"/>
      <c r="P373" s="1941"/>
      <c r="Q373" s="1987"/>
      <c r="R373" s="1988"/>
      <c r="V373" s="2448">
        <f>V374</f>
        <v>34404.24856</v>
      </c>
      <c r="W373" s="2522">
        <f>W374</f>
        <v>37431.370000000003</v>
      </c>
    </row>
    <row r="374" spans="1:256" ht="25.15" customHeight="1" x14ac:dyDescent="0.25">
      <c r="A374" s="32"/>
      <c r="B374" s="1993" t="s">
        <v>4</v>
      </c>
      <c r="C374" s="9"/>
      <c r="D374" s="9" t="s">
        <v>15</v>
      </c>
      <c r="E374" s="9" t="s">
        <v>32</v>
      </c>
      <c r="F374" s="9" t="s">
        <v>1314</v>
      </c>
      <c r="G374" s="9" t="s">
        <v>1</v>
      </c>
      <c r="H374" s="9"/>
      <c r="I374" s="9"/>
      <c r="J374" s="1061">
        <f>J376</f>
        <v>2363.7339999999999</v>
      </c>
      <c r="K374" s="1064"/>
      <c r="L374" s="1064">
        <v>2211</v>
      </c>
      <c r="M374" s="1563">
        <v>2233.5</v>
      </c>
      <c r="N374" s="2448">
        <f>N376</f>
        <v>33759.84953</v>
      </c>
      <c r="O374" s="1947">
        <f>O376</f>
        <v>22475.494999999999</v>
      </c>
      <c r="P374" s="1941">
        <f>P376</f>
        <v>24715.444</v>
      </c>
      <c r="Q374" s="1987">
        <f>Q376</f>
        <v>30558.639999999999</v>
      </c>
      <c r="R374" s="1988">
        <f>R376</f>
        <v>31896.880000000001</v>
      </c>
      <c r="V374" s="2448">
        <f>V376</f>
        <v>34404.24856</v>
      </c>
      <c r="W374" s="2522">
        <f>W376</f>
        <v>37431.370000000003</v>
      </c>
    </row>
    <row r="375" spans="1:256" ht="18.649999999999999" hidden="1" customHeight="1" x14ac:dyDescent="0.3">
      <c r="A375" s="32"/>
      <c r="B375" s="2003"/>
      <c r="C375" s="9"/>
      <c r="D375" s="9"/>
      <c r="E375" s="9"/>
      <c r="F375" s="9"/>
      <c r="G375" s="9"/>
      <c r="H375" s="9"/>
      <c r="I375" s="9"/>
      <c r="J375" s="1061"/>
      <c r="K375" s="1064"/>
      <c r="L375" s="1064"/>
      <c r="M375" s="1563"/>
      <c r="N375" s="2448"/>
      <c r="O375" s="1947"/>
      <c r="P375" s="1941"/>
      <c r="Q375" s="1987"/>
      <c r="R375" s="1988"/>
      <c r="V375" s="2448"/>
      <c r="W375" s="2522"/>
    </row>
    <row r="376" spans="1:256" ht="13" x14ac:dyDescent="0.3">
      <c r="A376" s="32"/>
      <c r="B376" s="744" t="s">
        <v>34</v>
      </c>
      <c r="C376" s="9"/>
      <c r="D376" s="9"/>
      <c r="E376" s="9"/>
      <c r="F376" s="9" t="s">
        <v>1314</v>
      </c>
      <c r="G376" s="9" t="s">
        <v>1</v>
      </c>
      <c r="H376" s="9" t="s">
        <v>463</v>
      </c>
      <c r="I376" s="9" t="s">
        <v>495</v>
      </c>
      <c r="J376" s="1061">
        <v>2363.7339999999999</v>
      </c>
      <c r="K376" s="1064"/>
      <c r="L376" s="1064"/>
      <c r="M376" s="1563"/>
      <c r="N376" s="2448">
        <f>33440.2924+319.55713</f>
        <v>33759.84953</v>
      </c>
      <c r="O376" s="1947">
        <v>22475.494999999999</v>
      </c>
      <c r="P376" s="1941">
        <v>24715.444</v>
      </c>
      <c r="Q376" s="1987">
        <v>30558.639999999999</v>
      </c>
      <c r="R376" s="1988">
        <v>31896.880000000001</v>
      </c>
      <c r="V376" s="2448">
        <v>34404.24856</v>
      </c>
      <c r="W376" s="2522">
        <v>37431.370000000003</v>
      </c>
    </row>
    <row r="377" spans="1:256" ht="50.25" hidden="1" customHeight="1" x14ac:dyDescent="0.3">
      <c r="A377" s="32"/>
      <c r="B377" s="2012" t="s">
        <v>1118</v>
      </c>
      <c r="C377" s="9"/>
      <c r="D377" s="9"/>
      <c r="E377" s="9"/>
      <c r="F377" s="9" t="s">
        <v>1117</v>
      </c>
      <c r="G377" s="9"/>
      <c r="H377" s="9"/>
      <c r="I377" s="9"/>
      <c r="J377" s="1061"/>
      <c r="K377" s="1064"/>
      <c r="L377" s="1064"/>
      <c r="M377" s="1563"/>
      <c r="N377" s="2448">
        <v>0</v>
      </c>
      <c r="O377" s="1947"/>
      <c r="P377" s="1941"/>
      <c r="Q377" s="1987"/>
      <c r="R377" s="1988"/>
      <c r="V377" s="2448">
        <f>V378</f>
        <v>70</v>
      </c>
      <c r="W377" s="2522">
        <f>W378</f>
        <v>70</v>
      </c>
    </row>
    <row r="378" spans="1:256" s="2" customFormat="1" ht="40.5" customHeight="1" x14ac:dyDescent="0.25">
      <c r="A378" s="32"/>
      <c r="B378" s="2991" t="s">
        <v>1251</v>
      </c>
      <c r="C378" s="9"/>
      <c r="D378" s="9"/>
      <c r="E378" s="9"/>
      <c r="F378" s="9" t="s">
        <v>1315</v>
      </c>
      <c r="G378" s="9"/>
      <c r="H378" s="9"/>
      <c r="I378" s="9"/>
      <c r="J378" s="1061"/>
      <c r="K378" s="1064"/>
      <c r="L378" s="1064"/>
      <c r="M378" s="1563"/>
      <c r="N378" s="2448">
        <f>N380</f>
        <v>335.79</v>
      </c>
      <c r="O378" s="1947"/>
      <c r="P378" s="1941"/>
      <c r="Q378" s="1987">
        <f>Q380</f>
        <v>0</v>
      </c>
      <c r="R378" s="1988">
        <f>R380</f>
        <v>0</v>
      </c>
      <c r="V378" s="2448">
        <f>V380</f>
        <v>70</v>
      </c>
      <c r="W378" s="2522">
        <f>W380</f>
        <v>70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26" x14ac:dyDescent="0.25">
      <c r="A379" s="32"/>
      <c r="B379" s="49" t="s">
        <v>1048</v>
      </c>
      <c r="C379" s="9"/>
      <c r="D379" s="9"/>
      <c r="E379" s="9"/>
      <c r="F379" s="9" t="s">
        <v>1315</v>
      </c>
      <c r="G379" s="9" t="s">
        <v>955</v>
      </c>
      <c r="H379" s="9"/>
      <c r="I379" s="9"/>
      <c r="J379" s="1061"/>
      <c r="K379" s="1064"/>
      <c r="L379" s="1064"/>
      <c r="M379" s="1563"/>
      <c r="N379" s="2448">
        <f>N380</f>
        <v>335.79</v>
      </c>
      <c r="O379" s="1947"/>
      <c r="P379" s="1941"/>
      <c r="Q379" s="1987"/>
      <c r="R379" s="1988"/>
      <c r="V379" s="2448">
        <f>V380</f>
        <v>70</v>
      </c>
      <c r="W379" s="2522">
        <f>W380</f>
        <v>70</v>
      </c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26" x14ac:dyDescent="0.25">
      <c r="A380" s="32"/>
      <c r="B380" s="1993" t="s">
        <v>4</v>
      </c>
      <c r="C380" s="9"/>
      <c r="D380" s="9"/>
      <c r="E380" s="9"/>
      <c r="F380" s="9" t="s">
        <v>1315</v>
      </c>
      <c r="G380" s="9" t="s">
        <v>1</v>
      </c>
      <c r="H380" s="9"/>
      <c r="I380" s="9"/>
      <c r="J380" s="1061"/>
      <c r="K380" s="1064"/>
      <c r="L380" s="1064"/>
      <c r="M380" s="1563"/>
      <c r="N380" s="2448">
        <f>N381</f>
        <v>335.79</v>
      </c>
      <c r="O380" s="1947"/>
      <c r="P380" s="1941"/>
      <c r="Q380" s="1987">
        <v>0</v>
      </c>
      <c r="R380" s="1988">
        <v>0</v>
      </c>
      <c r="V380" s="2448">
        <f>V381</f>
        <v>70</v>
      </c>
      <c r="W380" s="2522">
        <f>W381</f>
        <v>70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3">
      <c r="A381" s="32"/>
      <c r="B381" s="744" t="s">
        <v>34</v>
      </c>
      <c r="C381" s="9"/>
      <c r="D381" s="9"/>
      <c r="E381" s="9"/>
      <c r="F381" s="9" t="s">
        <v>1315</v>
      </c>
      <c r="G381" s="9" t="s">
        <v>1</v>
      </c>
      <c r="H381" s="9" t="s">
        <v>463</v>
      </c>
      <c r="I381" s="9" t="s">
        <v>495</v>
      </c>
      <c r="J381" s="1061"/>
      <c r="K381" s="1064"/>
      <c r="L381" s="1064"/>
      <c r="M381" s="1563"/>
      <c r="N381" s="2448">
        <v>335.79</v>
      </c>
      <c r="O381" s="1947"/>
      <c r="P381" s="1941"/>
      <c r="Q381" s="1987"/>
      <c r="R381" s="1988"/>
      <c r="V381" s="2448">
        <v>70</v>
      </c>
      <c r="W381" s="2522">
        <v>70</v>
      </c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65" hidden="1" x14ac:dyDescent="0.25">
      <c r="A382" s="91">
        <v>8</v>
      </c>
      <c r="B382" s="2033" t="s">
        <v>917</v>
      </c>
      <c r="C382" s="9"/>
      <c r="D382" s="9"/>
      <c r="E382" s="9"/>
      <c r="F382" s="34" t="s">
        <v>1241</v>
      </c>
      <c r="G382" s="9"/>
      <c r="H382" s="9"/>
      <c r="I382" s="9"/>
      <c r="J382" s="1061"/>
      <c r="K382" s="1064"/>
      <c r="L382" s="1064"/>
      <c r="M382" s="1563"/>
      <c r="N382" s="2450">
        <f>N383+N389+N420</f>
        <v>0</v>
      </c>
      <c r="O382" s="1994">
        <f>O383</f>
        <v>0</v>
      </c>
      <c r="P382" s="1939">
        <f>P383</f>
        <v>0</v>
      </c>
      <c r="Q382" s="1995">
        <f>Q383</f>
        <v>0</v>
      </c>
      <c r="R382" s="1985">
        <f>R383</f>
        <v>0</v>
      </c>
      <c r="V382" s="2450">
        <f>V393+V396+V420</f>
        <v>0</v>
      </c>
      <c r="W382" s="2521">
        <f>W393+W396+W420</f>
        <v>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3" t="s">
        <v>180</v>
      </c>
      <c r="C383" s="9"/>
      <c r="D383" s="9"/>
      <c r="E383" s="9"/>
      <c r="F383" s="9" t="s">
        <v>179</v>
      </c>
      <c r="G383" s="9"/>
      <c r="H383" s="9"/>
      <c r="I383" s="9"/>
      <c r="J383" s="1061"/>
      <c r="K383" s="1064"/>
      <c r="L383" s="1064"/>
      <c r="M383" s="1563"/>
      <c r="N383" s="2448">
        <f>N384</f>
        <v>0</v>
      </c>
      <c r="O383" s="1947">
        <f>O390+O384</f>
        <v>0</v>
      </c>
      <c r="P383" s="1941">
        <f>P390+P384</f>
        <v>0</v>
      </c>
      <c r="Q383" s="1987">
        <f>Q390+Q384</f>
        <v>0</v>
      </c>
      <c r="R383" s="1988">
        <f>R390+R384</f>
        <v>0</v>
      </c>
      <c r="V383" s="2448">
        <f>V384</f>
        <v>0</v>
      </c>
      <c r="W383" s="2522">
        <f>W384</f>
        <v>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26" hidden="1" x14ac:dyDescent="0.25">
      <c r="A384" s="32"/>
      <c r="B384" s="1098" t="s">
        <v>23</v>
      </c>
      <c r="C384" s="9"/>
      <c r="D384" s="9"/>
      <c r="E384" s="9"/>
      <c r="F384" s="9" t="s">
        <v>178</v>
      </c>
      <c r="G384" s="9"/>
      <c r="H384" s="9"/>
      <c r="I384" s="9"/>
      <c r="J384" s="1061"/>
      <c r="K384" s="1064"/>
      <c r="L384" s="1064"/>
      <c r="M384" s="1563"/>
      <c r="N384" s="2448">
        <f>N386+N388</f>
        <v>0</v>
      </c>
      <c r="O384" s="1947">
        <f t="shared" ref="O384:R384" si="165">O387</f>
        <v>0</v>
      </c>
      <c r="P384" s="1941">
        <f t="shared" si="165"/>
        <v>0</v>
      </c>
      <c r="Q384" s="1987">
        <f t="shared" si="165"/>
        <v>0</v>
      </c>
      <c r="R384" s="1988">
        <f t="shared" si="165"/>
        <v>0</v>
      </c>
      <c r="V384" s="2448">
        <f>V386+V388</f>
        <v>0</v>
      </c>
      <c r="W384" s="2522">
        <f>W386+W388</f>
        <v>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26" hidden="1" x14ac:dyDescent="0.25">
      <c r="A385" s="32"/>
      <c r="B385" s="1544" t="s">
        <v>454</v>
      </c>
      <c r="C385" s="9"/>
      <c r="D385" s="9"/>
      <c r="E385" s="9"/>
      <c r="F385" s="9" t="s">
        <v>178</v>
      </c>
      <c r="G385" s="9" t="s">
        <v>1</v>
      </c>
      <c r="H385" s="9"/>
      <c r="I385" s="9"/>
      <c r="J385" s="1061"/>
      <c r="K385" s="1064"/>
      <c r="L385" s="1064"/>
      <c r="M385" s="1563"/>
      <c r="N385" s="2448">
        <f>N386</f>
        <v>0</v>
      </c>
      <c r="O385" s="1947"/>
      <c r="P385" s="1941"/>
      <c r="Q385" s="1987"/>
      <c r="R385" s="1988"/>
      <c r="V385" s="2448">
        <f>V386</f>
        <v>0</v>
      </c>
      <c r="W385" s="2522">
        <f>W386</f>
        <v>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3">
      <c r="A386" s="32"/>
      <c r="B386" s="744" t="s">
        <v>39</v>
      </c>
      <c r="C386" s="9"/>
      <c r="D386" s="9"/>
      <c r="E386" s="9"/>
      <c r="F386" s="9" t="s">
        <v>178</v>
      </c>
      <c r="G386" s="9" t="s">
        <v>1</v>
      </c>
      <c r="H386" s="9" t="s">
        <v>463</v>
      </c>
      <c r="I386" s="9" t="s">
        <v>488</v>
      </c>
      <c r="J386" s="1061"/>
      <c r="K386" s="1064"/>
      <c r="L386" s="1064"/>
      <c r="M386" s="1563"/>
      <c r="N386" s="2448"/>
      <c r="O386" s="1947"/>
      <c r="P386" s="1941"/>
      <c r="Q386" s="1987"/>
      <c r="R386" s="1988"/>
      <c r="V386" s="2448"/>
      <c r="W386" s="2522"/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13" hidden="1" x14ac:dyDescent="0.25">
      <c r="A387" s="32"/>
      <c r="B387" s="1544" t="s">
        <v>481</v>
      </c>
      <c r="C387" s="9"/>
      <c r="D387" s="9"/>
      <c r="E387" s="9"/>
      <c r="F387" s="9" t="s">
        <v>178</v>
      </c>
      <c r="G387" s="9" t="s">
        <v>26</v>
      </c>
      <c r="H387" s="9"/>
      <c r="I387" s="9"/>
      <c r="J387" s="1061"/>
      <c r="K387" s="1064"/>
      <c r="L387" s="1064"/>
      <c r="M387" s="1563"/>
      <c r="N387" s="2484">
        <f>N388</f>
        <v>0</v>
      </c>
      <c r="O387" s="1947">
        <f>O388</f>
        <v>0</v>
      </c>
      <c r="P387" s="1941">
        <f>P388</f>
        <v>0</v>
      </c>
      <c r="Q387" s="1987">
        <f>Q388</f>
        <v>0</v>
      </c>
      <c r="R387" s="1988">
        <f>R388</f>
        <v>0</v>
      </c>
      <c r="V387" s="2484">
        <f>V388</f>
        <v>0</v>
      </c>
      <c r="W387" s="2528">
        <f>W388</f>
        <v>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13" hidden="1" x14ac:dyDescent="0.3">
      <c r="A388" s="32"/>
      <c r="B388" s="744" t="s">
        <v>39</v>
      </c>
      <c r="C388" s="9"/>
      <c r="D388" s="9"/>
      <c r="E388" s="9"/>
      <c r="F388" s="9" t="s">
        <v>178</v>
      </c>
      <c r="G388" s="9" t="s">
        <v>26</v>
      </c>
      <c r="H388" s="9" t="s">
        <v>463</v>
      </c>
      <c r="I388" s="9" t="s">
        <v>488</v>
      </c>
      <c r="J388" s="1061"/>
      <c r="K388" s="1064"/>
      <c r="L388" s="1064"/>
      <c r="M388" s="1563"/>
      <c r="N388" s="2451"/>
      <c r="O388" s="1999"/>
      <c r="P388" s="1937"/>
      <c r="Q388" s="2000"/>
      <c r="R388" s="2001"/>
      <c r="V388" s="2451"/>
      <c r="W388" s="2524"/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5" hidden="1" customHeight="1" x14ac:dyDescent="0.25">
      <c r="A389" s="32"/>
      <c r="B389" s="337" t="s">
        <v>1009</v>
      </c>
      <c r="C389" s="9"/>
      <c r="D389" s="9"/>
      <c r="E389" s="9"/>
      <c r="F389" s="9" t="s">
        <v>1242</v>
      </c>
      <c r="G389" s="9"/>
      <c r="H389" s="9"/>
      <c r="I389" s="9"/>
      <c r="J389" s="1061"/>
      <c r="K389" s="1064"/>
      <c r="L389" s="1064"/>
      <c r="M389" s="1563"/>
      <c r="N389" s="2451">
        <f>N390</f>
        <v>0</v>
      </c>
      <c r="O389" s="1999"/>
      <c r="P389" s="1937"/>
      <c r="Q389" s="2000"/>
      <c r="R389" s="2001"/>
      <c r="V389" s="2451">
        <f>V390</f>
        <v>0</v>
      </c>
      <c r="W389" s="2524">
        <f>W390</f>
        <v>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" hidden="1" x14ac:dyDescent="0.25">
      <c r="A390" s="32"/>
      <c r="B390" s="1108" t="s">
        <v>1011</v>
      </c>
      <c r="C390" s="9"/>
      <c r="D390" s="9"/>
      <c r="E390" s="9"/>
      <c r="F390" s="9" t="s">
        <v>1243</v>
      </c>
      <c r="G390" s="9"/>
      <c r="H390" s="9"/>
      <c r="I390" s="9"/>
      <c r="J390" s="1061"/>
      <c r="K390" s="1064"/>
      <c r="L390" s="1064"/>
      <c r="M390" s="1563"/>
      <c r="N390" s="2451">
        <f>N395</f>
        <v>0</v>
      </c>
      <c r="O390" s="1999">
        <f>O395</f>
        <v>0</v>
      </c>
      <c r="P390" s="1937">
        <f>P395</f>
        <v>0</v>
      </c>
      <c r="Q390" s="2000">
        <f>Q395</f>
        <v>0</v>
      </c>
      <c r="R390" s="2001">
        <f>R395</f>
        <v>0</v>
      </c>
      <c r="V390" s="2451">
        <f>V395+V393</f>
        <v>0</v>
      </c>
      <c r="W390" s="2524">
        <f>W395+W393</f>
        <v>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26" hidden="1" x14ac:dyDescent="0.25">
      <c r="A391" s="32"/>
      <c r="B391" s="49" t="s">
        <v>1048</v>
      </c>
      <c r="C391" s="9"/>
      <c r="D391" s="9"/>
      <c r="E391" s="9"/>
      <c r="F391" s="9" t="s">
        <v>1012</v>
      </c>
      <c r="G391" s="9" t="s">
        <v>955</v>
      </c>
      <c r="H391" s="9"/>
      <c r="I391" s="9"/>
      <c r="J391" s="1061"/>
      <c r="K391" s="1064"/>
      <c r="L391" s="1064"/>
      <c r="M391" s="1563"/>
      <c r="N391" s="2451">
        <f>N392</f>
        <v>0</v>
      </c>
      <c r="O391" s="1999"/>
      <c r="P391" s="1937"/>
      <c r="Q391" s="2000"/>
      <c r="R391" s="2001"/>
      <c r="V391" s="2451">
        <f t="shared" ref="V391:W392" si="166">V392</f>
        <v>0</v>
      </c>
      <c r="W391" s="2524">
        <f t="shared" si="166"/>
        <v>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" hidden="1" x14ac:dyDescent="0.25">
      <c r="A392" s="32"/>
      <c r="B392" s="1544" t="s">
        <v>454</v>
      </c>
      <c r="C392" s="9"/>
      <c r="D392" s="9"/>
      <c r="E392" s="9"/>
      <c r="F392" s="9" t="s">
        <v>1012</v>
      </c>
      <c r="G392" s="9" t="s">
        <v>1</v>
      </c>
      <c r="H392" s="9"/>
      <c r="I392" s="9"/>
      <c r="J392" s="1061"/>
      <c r="K392" s="1064"/>
      <c r="L392" s="1064"/>
      <c r="M392" s="1563"/>
      <c r="N392" s="2451">
        <f>N393</f>
        <v>0</v>
      </c>
      <c r="O392" s="1999"/>
      <c r="P392" s="1937"/>
      <c r="Q392" s="2000"/>
      <c r="R392" s="2001"/>
      <c r="V392" s="2451">
        <f t="shared" si="166"/>
        <v>0</v>
      </c>
      <c r="W392" s="2524">
        <f t="shared" si="166"/>
        <v>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13" hidden="1" x14ac:dyDescent="0.3">
      <c r="A393" s="32"/>
      <c r="B393" s="744" t="s">
        <v>39</v>
      </c>
      <c r="C393" s="9"/>
      <c r="D393" s="9"/>
      <c r="E393" s="9"/>
      <c r="F393" s="9" t="s">
        <v>1012</v>
      </c>
      <c r="G393" s="9" t="s">
        <v>1</v>
      </c>
      <c r="H393" s="9" t="s">
        <v>463</v>
      </c>
      <c r="I393" s="9" t="s">
        <v>488</v>
      </c>
      <c r="J393" s="1061"/>
      <c r="K393" s="1064"/>
      <c r="L393" s="1064"/>
      <c r="M393" s="1563"/>
      <c r="N393" s="2451">
        <v>0</v>
      </c>
      <c r="O393" s="1999"/>
      <c r="P393" s="1937"/>
      <c r="Q393" s="2000"/>
      <c r="R393" s="2001"/>
      <c r="V393" s="2451">
        <v>0</v>
      </c>
      <c r="W393" s="2524">
        <v>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25">
      <c r="A394" s="32"/>
      <c r="B394" s="2163" t="s">
        <v>1065</v>
      </c>
      <c r="C394" s="9"/>
      <c r="D394" s="9"/>
      <c r="E394" s="9"/>
      <c r="F394" s="9" t="s">
        <v>1243</v>
      </c>
      <c r="G394" s="9" t="s">
        <v>1064</v>
      </c>
      <c r="H394" s="9"/>
      <c r="I394" s="9"/>
      <c r="J394" s="1061"/>
      <c r="K394" s="1064"/>
      <c r="L394" s="1064"/>
      <c r="M394" s="1563"/>
      <c r="N394" s="2451">
        <f>N395</f>
        <v>0</v>
      </c>
      <c r="O394" s="2164"/>
      <c r="P394" s="2165"/>
      <c r="Q394" s="2166"/>
      <c r="R394" s="2167"/>
      <c r="S394" s="2150"/>
      <c r="T394" s="2150"/>
      <c r="U394" s="2150"/>
      <c r="V394" s="2451">
        <f>V395</f>
        <v>0</v>
      </c>
      <c r="W394" s="2524">
        <f>W395</f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26" hidden="1" x14ac:dyDescent="0.25">
      <c r="A395" s="32"/>
      <c r="B395" s="1544" t="s">
        <v>523</v>
      </c>
      <c r="C395" s="9"/>
      <c r="D395" s="9"/>
      <c r="E395" s="9"/>
      <c r="F395" s="9" t="s">
        <v>1243</v>
      </c>
      <c r="G395" s="9" t="s">
        <v>521</v>
      </c>
      <c r="H395" s="9"/>
      <c r="I395" s="9"/>
      <c r="J395" s="1061"/>
      <c r="K395" s="1064"/>
      <c r="L395" s="1064"/>
      <c r="M395" s="1563"/>
      <c r="N395" s="2451">
        <f>N396</f>
        <v>0</v>
      </c>
      <c r="O395" s="1999">
        <f t="shared" ref="O395:R395" si="167">O396</f>
        <v>0</v>
      </c>
      <c r="P395" s="1937">
        <f t="shared" si="167"/>
        <v>0</v>
      </c>
      <c r="Q395" s="2000">
        <f t="shared" si="167"/>
        <v>0</v>
      </c>
      <c r="R395" s="2001">
        <f t="shared" si="167"/>
        <v>0</v>
      </c>
      <c r="V395" s="2451">
        <f>V396</f>
        <v>0</v>
      </c>
      <c r="W395" s="2524">
        <f>W396</f>
        <v>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13" hidden="1" x14ac:dyDescent="0.3">
      <c r="A396" s="32"/>
      <c r="B396" s="744" t="s">
        <v>39</v>
      </c>
      <c r="C396" s="9"/>
      <c r="D396" s="9"/>
      <c r="E396" s="9"/>
      <c r="F396" s="9" t="s">
        <v>1243</v>
      </c>
      <c r="G396" s="9" t="s">
        <v>521</v>
      </c>
      <c r="H396" s="9" t="s">
        <v>463</v>
      </c>
      <c r="I396" s="9" t="s">
        <v>488</v>
      </c>
      <c r="J396" s="1061"/>
      <c r="K396" s="1064"/>
      <c r="L396" s="1064"/>
      <c r="M396" s="1563"/>
      <c r="N396" s="2448"/>
      <c r="O396" s="1947"/>
      <c r="P396" s="1941"/>
      <c r="Q396" s="1987"/>
      <c r="R396" s="1988"/>
      <c r="V396" s="2448"/>
      <c r="W396" s="2522"/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39" hidden="1" x14ac:dyDescent="0.25">
      <c r="A397" s="91">
        <v>9</v>
      </c>
      <c r="B397" s="2033" t="s">
        <v>861</v>
      </c>
      <c r="C397" s="9"/>
      <c r="D397" s="9"/>
      <c r="E397" s="9"/>
      <c r="F397" s="2035" t="s">
        <v>468</v>
      </c>
      <c r="G397" s="2035" t="s">
        <v>106</v>
      </c>
      <c r="H397" s="2035"/>
      <c r="I397" s="9"/>
      <c r="J397" s="1061"/>
      <c r="K397" s="1064"/>
      <c r="L397" s="1064"/>
      <c r="M397" s="1563"/>
      <c r="N397" s="2450">
        <f>N403+N409</f>
        <v>0</v>
      </c>
      <c r="O397" s="1947"/>
      <c r="P397" s="1941"/>
      <c r="Q397" s="2036"/>
      <c r="R397" s="2037"/>
      <c r="V397" s="2450">
        <f>V403+V409</f>
        <v>0</v>
      </c>
      <c r="W397" s="2521">
        <f>W403+W409</f>
        <v>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13.5" hidden="1" x14ac:dyDescent="0.25">
      <c r="A398" s="32"/>
      <c r="B398" s="1109" t="s">
        <v>849</v>
      </c>
      <c r="C398" s="9"/>
      <c r="D398" s="9"/>
      <c r="E398" s="9"/>
      <c r="F398" s="2038" t="s">
        <v>854</v>
      </c>
      <c r="G398" s="2039"/>
      <c r="H398" s="2039"/>
      <c r="I398" s="9"/>
      <c r="J398" s="1061"/>
      <c r="K398" s="1064"/>
      <c r="L398" s="1064"/>
      <c r="M398" s="1563"/>
      <c r="N398" s="2448">
        <f t="shared" ref="N398:N494" si="168">N399</f>
        <v>0</v>
      </c>
      <c r="O398" s="1947"/>
      <c r="P398" s="1941"/>
      <c r="Q398" s="2040"/>
      <c r="R398" s="2041"/>
      <c r="V398" s="2448">
        <f t="shared" ref="V398:W494" si="169">V399</f>
        <v>0</v>
      </c>
      <c r="W398" s="2522">
        <f t="shared" si="169"/>
        <v>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6" hidden="1" x14ac:dyDescent="0.25">
      <c r="A399" s="32"/>
      <c r="B399" s="1092" t="s">
        <v>850</v>
      </c>
      <c r="C399" s="9"/>
      <c r="D399" s="9"/>
      <c r="E399" s="9"/>
      <c r="F399" s="2038" t="s">
        <v>855</v>
      </c>
      <c r="G399" s="2042"/>
      <c r="H399" s="2042"/>
      <c r="I399" s="9"/>
      <c r="J399" s="1061"/>
      <c r="K399" s="1064"/>
      <c r="L399" s="1064"/>
      <c r="M399" s="1563"/>
      <c r="N399" s="2448">
        <f t="shared" si="168"/>
        <v>0</v>
      </c>
      <c r="O399" s="1947"/>
      <c r="P399" s="1941"/>
      <c r="Q399" s="2040"/>
      <c r="R399" s="2041"/>
      <c r="V399" s="2448">
        <f t="shared" si="169"/>
        <v>0</v>
      </c>
      <c r="W399" s="2522">
        <f t="shared" si="169"/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41.5" hidden="1" customHeight="1" x14ac:dyDescent="0.25">
      <c r="A400" s="32"/>
      <c r="B400" s="1110" t="s">
        <v>851</v>
      </c>
      <c r="C400" s="9"/>
      <c r="D400" s="9"/>
      <c r="E400" s="9"/>
      <c r="F400" s="2038" t="s">
        <v>856</v>
      </c>
      <c r="G400" s="2043"/>
      <c r="H400" s="2043"/>
      <c r="I400" s="9"/>
      <c r="J400" s="1061"/>
      <c r="K400" s="1064"/>
      <c r="L400" s="1064"/>
      <c r="M400" s="1563"/>
      <c r="N400" s="2448">
        <f t="shared" si="168"/>
        <v>0</v>
      </c>
      <c r="O400" s="1947"/>
      <c r="P400" s="1941"/>
      <c r="Q400" s="2040"/>
      <c r="R400" s="2041"/>
      <c r="V400" s="2448">
        <f t="shared" si="169"/>
        <v>0</v>
      </c>
      <c r="W400" s="2522">
        <f t="shared" si="169"/>
        <v>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13" hidden="1" x14ac:dyDescent="0.25">
      <c r="A401" s="32"/>
      <c r="B401" s="1203" t="s">
        <v>852</v>
      </c>
      <c r="C401" s="9"/>
      <c r="D401" s="9"/>
      <c r="E401" s="9"/>
      <c r="F401" s="2043" t="s">
        <v>856</v>
      </c>
      <c r="G401" s="2044" t="s">
        <v>860</v>
      </c>
      <c r="H401" s="2044"/>
      <c r="I401" s="9"/>
      <c r="J401" s="1061"/>
      <c r="K401" s="1064"/>
      <c r="L401" s="1064"/>
      <c r="M401" s="1563"/>
      <c r="N401" s="2448">
        <f t="shared" si="168"/>
        <v>0</v>
      </c>
      <c r="O401" s="1947"/>
      <c r="P401" s="1941"/>
      <c r="Q401" s="2040"/>
      <c r="R401" s="2041"/>
      <c r="V401" s="2448">
        <f t="shared" si="169"/>
        <v>0</v>
      </c>
      <c r="W401" s="2522">
        <f t="shared" si="169"/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13" hidden="1" x14ac:dyDescent="0.25">
      <c r="A402" s="32"/>
      <c r="B402" s="1203" t="s">
        <v>80</v>
      </c>
      <c r="C402" s="9"/>
      <c r="D402" s="9"/>
      <c r="E402" s="9"/>
      <c r="F402" s="2043" t="s">
        <v>856</v>
      </c>
      <c r="G402" s="2044" t="s">
        <v>77</v>
      </c>
      <c r="H402" s="2044"/>
      <c r="I402" s="9"/>
      <c r="J402" s="1061"/>
      <c r="K402" s="1064"/>
      <c r="L402" s="1064"/>
      <c r="M402" s="1563"/>
      <c r="N402" s="2448">
        <f t="shared" si="168"/>
        <v>0</v>
      </c>
      <c r="O402" s="1947"/>
      <c r="P402" s="1941"/>
      <c r="Q402" s="2040"/>
      <c r="R402" s="2041"/>
      <c r="V402" s="2448">
        <f t="shared" si="169"/>
        <v>0</v>
      </c>
      <c r="W402" s="2522">
        <f t="shared" si="169"/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13" hidden="1" x14ac:dyDescent="0.25">
      <c r="A403" s="32"/>
      <c r="B403" s="1184" t="s">
        <v>45</v>
      </c>
      <c r="C403" s="9"/>
      <c r="D403" s="9"/>
      <c r="E403" s="9"/>
      <c r="F403" s="2043" t="s">
        <v>856</v>
      </c>
      <c r="G403" s="2044" t="s">
        <v>77</v>
      </c>
      <c r="H403" s="2044" t="s">
        <v>496</v>
      </c>
      <c r="I403" s="9" t="s">
        <v>495</v>
      </c>
      <c r="J403" s="1061"/>
      <c r="K403" s="1064"/>
      <c r="L403" s="1064"/>
      <c r="M403" s="1563"/>
      <c r="N403" s="2448"/>
      <c r="O403" s="1947"/>
      <c r="P403" s="1941"/>
      <c r="Q403" s="2040"/>
      <c r="R403" s="2041"/>
      <c r="V403" s="2448"/>
      <c r="W403" s="2522"/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40.5" hidden="1" x14ac:dyDescent="0.25">
      <c r="A404" s="32"/>
      <c r="B404" s="1109" t="s">
        <v>853</v>
      </c>
      <c r="C404" s="9"/>
      <c r="D404" s="9"/>
      <c r="E404" s="9"/>
      <c r="F404" s="2038" t="s">
        <v>857</v>
      </c>
      <c r="G404" s="2039"/>
      <c r="H404" s="2039"/>
      <c r="I404" s="9"/>
      <c r="J404" s="1061"/>
      <c r="K404" s="1064"/>
      <c r="L404" s="1064"/>
      <c r="M404" s="1563"/>
      <c r="N404" s="2448">
        <f t="shared" si="168"/>
        <v>0</v>
      </c>
      <c r="O404" s="1947"/>
      <c r="P404" s="1941"/>
      <c r="Q404" s="2040"/>
      <c r="R404" s="2041"/>
      <c r="V404" s="2448">
        <f t="shared" si="169"/>
        <v>0</v>
      </c>
      <c r="W404" s="2522">
        <f t="shared" si="169"/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6" hidden="1" x14ac:dyDescent="0.25">
      <c r="A405" s="32"/>
      <c r="B405" s="1092" t="s">
        <v>850</v>
      </c>
      <c r="C405" s="9"/>
      <c r="D405" s="9"/>
      <c r="E405" s="9"/>
      <c r="F405" s="2038" t="s">
        <v>858</v>
      </c>
      <c r="G405" s="2042"/>
      <c r="H405" s="2042"/>
      <c r="I405" s="9"/>
      <c r="J405" s="1061"/>
      <c r="K405" s="1064"/>
      <c r="L405" s="1064"/>
      <c r="M405" s="1563"/>
      <c r="N405" s="2448">
        <f t="shared" si="168"/>
        <v>0</v>
      </c>
      <c r="O405" s="1947"/>
      <c r="P405" s="1941"/>
      <c r="Q405" s="2040"/>
      <c r="R405" s="2041"/>
      <c r="V405" s="2448">
        <f t="shared" si="169"/>
        <v>0</v>
      </c>
      <c r="W405" s="2522">
        <f t="shared" si="169"/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39" hidden="1" x14ac:dyDescent="0.25">
      <c r="A406" s="32"/>
      <c r="B406" s="1110" t="s">
        <v>851</v>
      </c>
      <c r="C406" s="9"/>
      <c r="D406" s="9"/>
      <c r="E406" s="9"/>
      <c r="F406" s="2038" t="s">
        <v>859</v>
      </c>
      <c r="G406" s="2043"/>
      <c r="H406" s="2043"/>
      <c r="I406" s="9"/>
      <c r="J406" s="1061"/>
      <c r="K406" s="1064"/>
      <c r="L406" s="1064"/>
      <c r="M406" s="1563"/>
      <c r="N406" s="2448">
        <f t="shared" si="168"/>
        <v>0</v>
      </c>
      <c r="O406" s="1947"/>
      <c r="P406" s="1941"/>
      <c r="Q406" s="2040"/>
      <c r="R406" s="2041"/>
      <c r="V406" s="2448">
        <f t="shared" si="169"/>
        <v>0</v>
      </c>
      <c r="W406" s="2522">
        <f t="shared" si="169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13" hidden="1" x14ac:dyDescent="0.25">
      <c r="A407" s="32"/>
      <c r="B407" s="1203" t="s">
        <v>852</v>
      </c>
      <c r="C407" s="9"/>
      <c r="D407" s="9"/>
      <c r="E407" s="9"/>
      <c r="F407" s="2038" t="s">
        <v>859</v>
      </c>
      <c r="G407" s="2044" t="s">
        <v>860</v>
      </c>
      <c r="H407" s="2044"/>
      <c r="I407" s="9"/>
      <c r="J407" s="1061"/>
      <c r="K407" s="1064"/>
      <c r="L407" s="1064"/>
      <c r="M407" s="1563"/>
      <c r="N407" s="2448">
        <f t="shared" si="168"/>
        <v>0</v>
      </c>
      <c r="O407" s="1947"/>
      <c r="P407" s="1941"/>
      <c r="Q407" s="2040"/>
      <c r="R407" s="2041"/>
      <c r="V407" s="2448">
        <f t="shared" si="169"/>
        <v>0</v>
      </c>
      <c r="W407" s="2522">
        <f t="shared" si="169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13" hidden="1" x14ac:dyDescent="0.25">
      <c r="A408" s="32"/>
      <c r="B408" s="1203" t="s">
        <v>80</v>
      </c>
      <c r="C408" s="9"/>
      <c r="D408" s="9"/>
      <c r="E408" s="9"/>
      <c r="F408" s="2043" t="s">
        <v>859</v>
      </c>
      <c r="G408" s="2044" t="s">
        <v>77</v>
      </c>
      <c r="H408" s="2044"/>
      <c r="I408" s="9"/>
      <c r="J408" s="1061"/>
      <c r="K408" s="1064"/>
      <c r="L408" s="1064"/>
      <c r="M408" s="1563"/>
      <c r="N408" s="2448">
        <f>N409</f>
        <v>0</v>
      </c>
      <c r="O408" s="1947"/>
      <c r="P408" s="1941"/>
      <c r="Q408" s="2040"/>
      <c r="R408" s="2041"/>
      <c r="V408" s="2448">
        <f>V409</f>
        <v>0</v>
      </c>
      <c r="W408" s="2522">
        <f>W409</f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13" hidden="1" x14ac:dyDescent="0.25">
      <c r="A409" s="32"/>
      <c r="B409" s="1184" t="s">
        <v>45</v>
      </c>
      <c r="C409" s="1508"/>
      <c r="D409" s="1508"/>
      <c r="E409" s="1508"/>
      <c r="F409" s="2045" t="s">
        <v>859</v>
      </c>
      <c r="G409" s="2046" t="s">
        <v>77</v>
      </c>
      <c r="H409" s="2046" t="s">
        <v>496</v>
      </c>
      <c r="I409" s="1508" t="s">
        <v>495</v>
      </c>
      <c r="J409" s="1061"/>
      <c r="K409" s="1064"/>
      <c r="L409" s="1064"/>
      <c r="M409" s="1563"/>
      <c r="N409" s="2448"/>
      <c r="O409" s="1947"/>
      <c r="P409" s="1941"/>
      <c r="Q409" s="2040"/>
      <c r="R409" s="2041"/>
      <c r="V409" s="2448"/>
      <c r="W409" s="2522"/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52" hidden="1" x14ac:dyDescent="0.25">
      <c r="A410" s="1504">
        <v>10</v>
      </c>
      <c r="B410" s="2047" t="s">
        <v>1013</v>
      </c>
      <c r="C410" s="1508"/>
      <c r="D410" s="1508"/>
      <c r="E410" s="1508"/>
      <c r="F410" s="2048" t="s">
        <v>1014</v>
      </c>
      <c r="G410" s="2046"/>
      <c r="H410" s="2046"/>
      <c r="I410" s="1508"/>
      <c r="J410" s="1087"/>
      <c r="K410" s="1064"/>
      <c r="L410" s="1064"/>
      <c r="M410" s="1563"/>
      <c r="N410" s="2450">
        <f>N411</f>
        <v>0</v>
      </c>
      <c r="O410" s="1947"/>
      <c r="P410" s="1941"/>
      <c r="Q410" s="2040"/>
      <c r="R410" s="2041"/>
      <c r="V410" s="2450">
        <f t="shared" ref="V410:W414" si="170">V411</f>
        <v>0</v>
      </c>
      <c r="W410" s="2521">
        <f t="shared" si="170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39" hidden="1" x14ac:dyDescent="0.25">
      <c r="A411" s="1505"/>
      <c r="B411" s="2049" t="s">
        <v>1015</v>
      </c>
      <c r="C411" s="1508"/>
      <c r="D411" s="1508"/>
      <c r="E411" s="1508"/>
      <c r="F411" s="2045" t="s">
        <v>1016</v>
      </c>
      <c r="G411" s="2046"/>
      <c r="H411" s="2046"/>
      <c r="I411" s="1508"/>
      <c r="J411" s="1087"/>
      <c r="K411" s="1064"/>
      <c r="L411" s="1064"/>
      <c r="M411" s="1563"/>
      <c r="N411" s="2448">
        <f>N412</f>
        <v>0</v>
      </c>
      <c r="O411" s="1947"/>
      <c r="P411" s="1941"/>
      <c r="Q411" s="2040"/>
      <c r="R411" s="2041"/>
      <c r="V411" s="2448">
        <f t="shared" si="170"/>
        <v>0</v>
      </c>
      <c r="W411" s="2522">
        <f t="shared" si="170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4.5" hidden="1" x14ac:dyDescent="0.25">
      <c r="A412" s="1505"/>
      <c r="B412" s="2050" t="s">
        <v>1017</v>
      </c>
      <c r="C412" s="1508"/>
      <c r="D412" s="1508"/>
      <c r="E412" s="1508"/>
      <c r="F412" s="2045" t="s">
        <v>1041</v>
      </c>
      <c r="G412" s="2046"/>
      <c r="H412" s="2046"/>
      <c r="I412" s="1508"/>
      <c r="J412" s="1087"/>
      <c r="K412" s="1064"/>
      <c r="L412" s="1064"/>
      <c r="M412" s="1563"/>
      <c r="N412" s="2448">
        <f>N413</f>
        <v>0</v>
      </c>
      <c r="O412" s="1947"/>
      <c r="P412" s="1941"/>
      <c r="Q412" s="2040"/>
      <c r="R412" s="2041"/>
      <c r="V412" s="2448">
        <f t="shared" si="170"/>
        <v>0</v>
      </c>
      <c r="W412" s="2522">
        <f t="shared" si="170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23" hidden="1" x14ac:dyDescent="0.25">
      <c r="A413" s="1505"/>
      <c r="B413" s="1515" t="s">
        <v>948</v>
      </c>
      <c r="C413" s="1508"/>
      <c r="D413" s="1508"/>
      <c r="E413" s="1508"/>
      <c r="F413" s="2045" t="s">
        <v>1041</v>
      </c>
      <c r="G413" s="2046" t="s">
        <v>955</v>
      </c>
      <c r="H413" s="2046"/>
      <c r="I413" s="1508"/>
      <c r="J413" s="1087"/>
      <c r="K413" s="1064"/>
      <c r="L413" s="1064"/>
      <c r="M413" s="1563"/>
      <c r="N413" s="2448">
        <f>N414</f>
        <v>0</v>
      </c>
      <c r="O413" s="1947"/>
      <c r="P413" s="1941"/>
      <c r="Q413" s="2040"/>
      <c r="R413" s="2041"/>
      <c r="V413" s="2448">
        <f t="shared" si="170"/>
        <v>0</v>
      </c>
      <c r="W413" s="2522">
        <f t="shared" si="170"/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23" hidden="1" x14ac:dyDescent="0.25">
      <c r="A414" s="1505"/>
      <c r="B414" s="1516" t="s">
        <v>454</v>
      </c>
      <c r="C414" s="1508"/>
      <c r="D414" s="1508"/>
      <c r="E414" s="1508"/>
      <c r="F414" s="2045" t="s">
        <v>1041</v>
      </c>
      <c r="G414" s="2046" t="s">
        <v>1</v>
      </c>
      <c r="H414" s="2046"/>
      <c r="I414" s="1508"/>
      <c r="J414" s="1087"/>
      <c r="K414" s="1064"/>
      <c r="L414" s="1064"/>
      <c r="M414" s="1563"/>
      <c r="N414" s="2448">
        <f>N415</f>
        <v>0</v>
      </c>
      <c r="O414" s="1947"/>
      <c r="P414" s="1941"/>
      <c r="Q414" s="2040"/>
      <c r="R414" s="2041"/>
      <c r="V414" s="2448">
        <f t="shared" si="170"/>
        <v>0</v>
      </c>
      <c r="W414" s="2522">
        <f t="shared" si="170"/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" hidden="1" x14ac:dyDescent="0.3">
      <c r="A415" s="1505"/>
      <c r="B415" s="2051" t="s">
        <v>34</v>
      </c>
      <c r="C415" s="1508"/>
      <c r="D415" s="1508"/>
      <c r="E415" s="1508"/>
      <c r="F415" s="2045" t="s">
        <v>1041</v>
      </c>
      <c r="G415" s="2046" t="s">
        <v>1</v>
      </c>
      <c r="H415" s="2046" t="s">
        <v>463</v>
      </c>
      <c r="I415" s="1508" t="s">
        <v>495</v>
      </c>
      <c r="J415" s="1087"/>
      <c r="K415" s="1064"/>
      <c r="L415" s="1064"/>
      <c r="M415" s="1563"/>
      <c r="N415" s="2448"/>
      <c r="O415" s="1947"/>
      <c r="P415" s="1941"/>
      <c r="Q415" s="2040"/>
      <c r="R415" s="2041"/>
      <c r="V415" s="2448"/>
      <c r="W415" s="2522"/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6.15" hidden="1" customHeight="1" x14ac:dyDescent="0.25">
      <c r="A416" s="1505"/>
      <c r="B416" s="337" t="s">
        <v>1172</v>
      </c>
      <c r="C416" s="1508"/>
      <c r="D416" s="1508"/>
      <c r="E416" s="1508"/>
      <c r="F416" s="9" t="s">
        <v>1160</v>
      </c>
      <c r="G416" s="2046"/>
      <c r="H416" s="2046"/>
      <c r="I416" s="1508"/>
      <c r="J416" s="1087"/>
      <c r="K416" s="1064"/>
      <c r="L416" s="1064"/>
      <c r="M416" s="1563"/>
      <c r="N416" s="2448">
        <f>N420</f>
        <v>0</v>
      </c>
      <c r="O416" s="2155"/>
      <c r="P416" s="2390"/>
      <c r="Q416" s="2391"/>
      <c r="R416" s="2392"/>
      <c r="S416" s="2393"/>
      <c r="T416" s="2393"/>
      <c r="U416" s="2393"/>
      <c r="V416" s="2448">
        <f>V420</f>
        <v>0</v>
      </c>
      <c r="W416" s="2522">
        <f>W420</f>
        <v>0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6.15" hidden="1" customHeight="1" x14ac:dyDescent="0.25">
      <c r="A417" s="1505"/>
      <c r="B417" s="2168" t="s">
        <v>1163</v>
      </c>
      <c r="C417" s="1508"/>
      <c r="D417" s="1508"/>
      <c r="E417" s="1508"/>
      <c r="F417" s="9" t="s">
        <v>1161</v>
      </c>
      <c r="G417" s="2046"/>
      <c r="H417" s="2046"/>
      <c r="I417" s="1508"/>
      <c r="J417" s="1087"/>
      <c r="K417" s="1064"/>
      <c r="L417" s="1064"/>
      <c r="M417" s="1563"/>
      <c r="N417" s="2448">
        <f>N418</f>
        <v>0</v>
      </c>
      <c r="O417" s="2155"/>
      <c r="P417" s="2390"/>
      <c r="Q417" s="2391"/>
      <c r="R417" s="2392"/>
      <c r="S417" s="2393"/>
      <c r="T417" s="2393"/>
      <c r="U417" s="2393"/>
      <c r="V417" s="2448">
        <f t="shared" ref="V417:W419" si="171">V418</f>
        <v>0</v>
      </c>
      <c r="W417" s="2522">
        <f t="shared" si="171"/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13" hidden="1" customHeight="1" x14ac:dyDescent="0.25">
      <c r="A418" s="1505"/>
      <c r="B418" s="49" t="s">
        <v>1065</v>
      </c>
      <c r="C418" s="1508"/>
      <c r="D418" s="1508"/>
      <c r="E418" s="1508"/>
      <c r="F418" s="9" t="s">
        <v>1161</v>
      </c>
      <c r="G418" s="2045" t="s">
        <v>1064</v>
      </c>
      <c r="H418" s="2045"/>
      <c r="I418" s="1508"/>
      <c r="J418" s="1087"/>
      <c r="K418" s="1064"/>
      <c r="L418" s="1064"/>
      <c r="M418" s="1563"/>
      <c r="N418" s="2448">
        <f>N419</f>
        <v>0</v>
      </c>
      <c r="O418" s="2155"/>
      <c r="P418" s="2390"/>
      <c r="Q418" s="2391"/>
      <c r="R418" s="2392"/>
      <c r="S418" s="2393"/>
      <c r="T418" s="2393"/>
      <c r="U418" s="2393"/>
      <c r="V418" s="2448">
        <f t="shared" si="171"/>
        <v>0</v>
      </c>
      <c r="W418" s="2522">
        <f t="shared" si="171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6.15" hidden="1" customHeight="1" x14ac:dyDescent="0.25">
      <c r="A419" s="1505"/>
      <c r="B419" s="1544" t="s">
        <v>523</v>
      </c>
      <c r="C419" s="1508"/>
      <c r="D419" s="1508"/>
      <c r="E419" s="1508"/>
      <c r="F419" s="9" t="s">
        <v>1161</v>
      </c>
      <c r="G419" s="2045" t="s">
        <v>521</v>
      </c>
      <c r="H419" s="2045"/>
      <c r="I419" s="1508"/>
      <c r="J419" s="1087"/>
      <c r="K419" s="1064"/>
      <c r="L419" s="1064"/>
      <c r="M419" s="1563"/>
      <c r="N419" s="2448">
        <f>N420</f>
        <v>0</v>
      </c>
      <c r="O419" s="2155"/>
      <c r="P419" s="2390"/>
      <c r="Q419" s="2391"/>
      <c r="R419" s="2392"/>
      <c r="S419" s="2393"/>
      <c r="T419" s="2393"/>
      <c r="U419" s="2393"/>
      <c r="V419" s="2448">
        <f t="shared" si="171"/>
        <v>0</v>
      </c>
      <c r="W419" s="2522">
        <f t="shared" si="171"/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8.649999999999999" hidden="1" customHeight="1" x14ac:dyDescent="0.3">
      <c r="A420" s="1505"/>
      <c r="B420" s="744" t="s">
        <v>39</v>
      </c>
      <c r="C420" s="1508"/>
      <c r="D420" s="1508"/>
      <c r="E420" s="1508"/>
      <c r="F420" s="9" t="s">
        <v>1161</v>
      </c>
      <c r="G420" s="2045" t="s">
        <v>521</v>
      </c>
      <c r="H420" s="2045" t="s">
        <v>463</v>
      </c>
      <c r="I420" s="1508" t="s">
        <v>488</v>
      </c>
      <c r="J420" s="1087"/>
      <c r="K420" s="1064"/>
      <c r="L420" s="1064"/>
      <c r="M420" s="1563"/>
      <c r="N420" s="2448">
        <v>0</v>
      </c>
      <c r="O420" s="2155"/>
      <c r="P420" s="2390"/>
      <c r="Q420" s="2391"/>
      <c r="R420" s="2392"/>
      <c r="S420" s="2393"/>
      <c r="T420" s="2393"/>
      <c r="U420" s="2393"/>
      <c r="V420" s="2448">
        <v>0</v>
      </c>
      <c r="W420" s="2522"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4.5" customHeight="1" x14ac:dyDescent="0.25">
      <c r="A421" s="91">
        <v>8</v>
      </c>
      <c r="B421" s="135" t="s">
        <v>1059</v>
      </c>
      <c r="C421" s="1508"/>
      <c r="D421" s="1508"/>
      <c r="E421" s="1508"/>
      <c r="F421" s="932" t="s">
        <v>468</v>
      </c>
      <c r="G421" s="2046"/>
      <c r="H421" s="2046"/>
      <c r="I421" s="1508"/>
      <c r="J421" s="1087"/>
      <c r="K421" s="1064"/>
      <c r="L421" s="1064"/>
      <c r="M421" s="1563"/>
      <c r="N421" s="2448">
        <f>N422</f>
        <v>2434.1125999999999</v>
      </c>
      <c r="O421" s="1947"/>
      <c r="P421" s="1941"/>
      <c r="Q421" s="2040"/>
      <c r="R421" s="2041"/>
      <c r="V421" s="2448">
        <f t="shared" ref="V421:W422" si="172">V422</f>
        <v>500.00000000000006</v>
      </c>
      <c r="W421" s="2522">
        <f t="shared" si="172"/>
        <v>500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14.5" customHeight="1" x14ac:dyDescent="0.3">
      <c r="A422" s="1505"/>
      <c r="B422" s="2992" t="s">
        <v>1263</v>
      </c>
      <c r="C422" s="1508"/>
      <c r="D422" s="1508"/>
      <c r="E422" s="1508"/>
      <c r="F422" s="937" t="s">
        <v>1319</v>
      </c>
      <c r="G422" s="2046"/>
      <c r="H422" s="2046"/>
      <c r="I422" s="1508"/>
      <c r="J422" s="1087"/>
      <c r="K422" s="1064"/>
      <c r="L422" s="1064"/>
      <c r="M422" s="1563"/>
      <c r="N422" s="2448">
        <f>N424+N428</f>
        <v>2434.1125999999999</v>
      </c>
      <c r="O422" s="1947"/>
      <c r="P422" s="1941"/>
      <c r="Q422" s="2040"/>
      <c r="R422" s="2041"/>
      <c r="V422" s="2448">
        <f t="shared" si="172"/>
        <v>500.00000000000006</v>
      </c>
      <c r="W422" s="2522">
        <f t="shared" si="172"/>
        <v>500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31" x14ac:dyDescent="0.25">
      <c r="A423" s="1505"/>
      <c r="B423" s="2993" t="s">
        <v>1318</v>
      </c>
      <c r="C423" s="2994" t="s">
        <v>858</v>
      </c>
      <c r="D423" s="1508"/>
      <c r="E423" s="1508"/>
      <c r="F423" s="2995" t="s">
        <v>1317</v>
      </c>
      <c r="G423" s="937"/>
      <c r="H423" s="937"/>
      <c r="I423" s="937"/>
      <c r="J423" s="1087"/>
      <c r="K423" s="1064"/>
      <c r="L423" s="1064"/>
      <c r="M423" s="1563"/>
      <c r="N423" s="2448">
        <f>N428+N427</f>
        <v>2434.1125999999999</v>
      </c>
      <c r="O423" s="1947"/>
      <c r="P423" s="1941"/>
      <c r="Q423" s="2040"/>
      <c r="R423" s="2041"/>
      <c r="V423" s="2448">
        <f>V428</f>
        <v>500.00000000000006</v>
      </c>
      <c r="W423" s="2522">
        <f>W428</f>
        <v>500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77.5" x14ac:dyDescent="0.25">
      <c r="A424" s="1505"/>
      <c r="B424" s="2993" t="s">
        <v>1370</v>
      </c>
      <c r="C424" s="2994"/>
      <c r="D424" s="1508"/>
      <c r="E424" s="1508"/>
      <c r="F424" s="2995" t="s">
        <v>1369</v>
      </c>
      <c r="G424" s="937"/>
      <c r="H424" s="937"/>
      <c r="I424" s="937"/>
      <c r="J424" s="1087"/>
      <c r="K424" s="1064"/>
      <c r="L424" s="1064"/>
      <c r="M424" s="1563"/>
      <c r="N424" s="2448">
        <f>N425</f>
        <v>90</v>
      </c>
      <c r="O424" s="1947"/>
      <c r="P424" s="1941"/>
      <c r="Q424" s="2040"/>
      <c r="R424" s="2041"/>
      <c r="V424" s="2448">
        <f t="shared" ref="V424:W426" si="173">V425</f>
        <v>0</v>
      </c>
      <c r="W424" s="2522">
        <f t="shared" si="173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26" x14ac:dyDescent="0.25">
      <c r="A425" s="1505"/>
      <c r="B425" s="76" t="s">
        <v>1048</v>
      </c>
      <c r="C425" s="2994"/>
      <c r="D425" s="1508"/>
      <c r="E425" s="1508"/>
      <c r="F425" s="2995" t="s">
        <v>1369</v>
      </c>
      <c r="G425" s="937" t="s">
        <v>955</v>
      </c>
      <c r="H425" s="932"/>
      <c r="I425" s="932"/>
      <c r="J425" s="1087"/>
      <c r="K425" s="1064"/>
      <c r="L425" s="1064"/>
      <c r="M425" s="1563"/>
      <c r="N425" s="2448">
        <f>N426</f>
        <v>90</v>
      </c>
      <c r="O425" s="1947"/>
      <c r="P425" s="1941"/>
      <c r="Q425" s="2040"/>
      <c r="R425" s="2041"/>
      <c r="V425" s="2448">
        <f t="shared" si="173"/>
        <v>0</v>
      </c>
      <c r="W425" s="2522">
        <f t="shared" si="173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" x14ac:dyDescent="0.25">
      <c r="A426" s="1505"/>
      <c r="B426" s="1544" t="s">
        <v>454</v>
      </c>
      <c r="C426" s="2994"/>
      <c r="D426" s="1508"/>
      <c r="E426" s="1508"/>
      <c r="F426" s="2995" t="s">
        <v>1369</v>
      </c>
      <c r="G426" s="937" t="s">
        <v>1</v>
      </c>
      <c r="H426" s="937"/>
      <c r="I426" s="932"/>
      <c r="J426" s="1087"/>
      <c r="K426" s="1064"/>
      <c r="L426" s="1064"/>
      <c r="M426" s="1563"/>
      <c r="N426" s="2448">
        <f>N427</f>
        <v>90</v>
      </c>
      <c r="O426" s="1947"/>
      <c r="P426" s="1941"/>
      <c r="Q426" s="2040"/>
      <c r="R426" s="2041"/>
      <c r="V426" s="2448">
        <f t="shared" si="173"/>
        <v>0</v>
      </c>
      <c r="W426" s="2522">
        <f t="shared" si="173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15.5" x14ac:dyDescent="0.3">
      <c r="A427" s="1505"/>
      <c r="B427" s="2012" t="s">
        <v>34</v>
      </c>
      <c r="C427" s="2994"/>
      <c r="D427" s="1508"/>
      <c r="E427" s="1508"/>
      <c r="F427" s="2995" t="s">
        <v>1369</v>
      </c>
      <c r="G427" s="937" t="s">
        <v>1</v>
      </c>
      <c r="H427" s="937" t="s">
        <v>463</v>
      </c>
      <c r="I427" s="937" t="s">
        <v>495</v>
      </c>
      <c r="J427" s="1087"/>
      <c r="K427" s="1064"/>
      <c r="L427" s="1064"/>
      <c r="M427" s="1563"/>
      <c r="N427" s="2448">
        <v>90</v>
      </c>
      <c r="O427" s="1947"/>
      <c r="P427" s="1941"/>
      <c r="Q427" s="2040"/>
      <c r="R427" s="2041"/>
      <c r="V427" s="2448">
        <v>0</v>
      </c>
      <c r="W427" s="2522"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55" customHeight="1" x14ac:dyDescent="0.25">
      <c r="A428" s="1505"/>
      <c r="B428" s="2996" t="s">
        <v>1250</v>
      </c>
      <c r="C428" s="2250" t="s">
        <v>1055</v>
      </c>
      <c r="D428" s="1508"/>
      <c r="E428" s="1508"/>
      <c r="F428" s="937" t="s">
        <v>1316</v>
      </c>
      <c r="G428" s="937"/>
      <c r="H428" s="937"/>
      <c r="I428" s="937"/>
      <c r="J428" s="1087"/>
      <c r="K428" s="1064"/>
      <c r="L428" s="1064"/>
      <c r="M428" s="1563"/>
      <c r="N428" s="2448">
        <f>N431</f>
        <v>2344.1125999999999</v>
      </c>
      <c r="O428" s="1947"/>
      <c r="P428" s="1941"/>
      <c r="Q428" s="2040"/>
      <c r="R428" s="2041"/>
      <c r="V428" s="2448">
        <f>V431</f>
        <v>500.00000000000006</v>
      </c>
      <c r="W428" s="2522">
        <f>W431</f>
        <v>500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19.5" hidden="1" customHeight="1" x14ac:dyDescent="0.25">
      <c r="A429" s="1505"/>
      <c r="B429" s="2251" t="s">
        <v>1048</v>
      </c>
      <c r="C429" s="2250" t="s">
        <v>1055</v>
      </c>
      <c r="D429" s="1508"/>
      <c r="E429" s="1508"/>
      <c r="F429" s="937" t="s">
        <v>1055</v>
      </c>
      <c r="G429" s="937" t="s">
        <v>955</v>
      </c>
      <c r="H429" s="932"/>
      <c r="I429" s="932"/>
      <c r="J429" s="1087"/>
      <c r="K429" s="1064"/>
      <c r="L429" s="1064"/>
      <c r="M429" s="1563"/>
      <c r="N429" s="2448"/>
      <c r="O429" s="1947"/>
      <c r="P429" s="1941"/>
      <c r="Q429" s="2040"/>
      <c r="R429" s="2041"/>
      <c r="V429" s="2448"/>
      <c r="W429" s="2522"/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26" x14ac:dyDescent="0.25">
      <c r="A430" s="1505"/>
      <c r="B430" s="76" t="s">
        <v>1048</v>
      </c>
      <c r="C430" s="2250"/>
      <c r="D430" s="1508"/>
      <c r="E430" s="1508"/>
      <c r="F430" s="937" t="s">
        <v>1316</v>
      </c>
      <c r="G430" s="937" t="s">
        <v>955</v>
      </c>
      <c r="H430" s="932"/>
      <c r="I430" s="932"/>
      <c r="J430" s="1087"/>
      <c r="K430" s="1064"/>
      <c r="L430" s="1064"/>
      <c r="M430" s="1563"/>
      <c r="N430" s="2448">
        <f>N431</f>
        <v>2344.1125999999999</v>
      </c>
      <c r="O430" s="1947"/>
      <c r="P430" s="1941"/>
      <c r="Q430" s="2040"/>
      <c r="R430" s="2041"/>
      <c r="V430" s="2448">
        <f t="shared" ref="V430:W430" si="174">V431</f>
        <v>500.00000000000006</v>
      </c>
      <c r="W430" s="2522">
        <f t="shared" si="174"/>
        <v>500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5.5" customHeight="1" x14ac:dyDescent="0.25">
      <c r="A431" s="1505"/>
      <c r="B431" s="1544" t="s">
        <v>454</v>
      </c>
      <c r="C431" s="2250" t="s">
        <v>1055</v>
      </c>
      <c r="D431" s="1508"/>
      <c r="E431" s="1508"/>
      <c r="F431" s="937" t="s">
        <v>1316</v>
      </c>
      <c r="G431" s="937" t="s">
        <v>1</v>
      </c>
      <c r="H431" s="937"/>
      <c r="I431" s="932"/>
      <c r="J431" s="1087"/>
      <c r="K431" s="1064"/>
      <c r="L431" s="1064"/>
      <c r="M431" s="1563"/>
      <c r="N431" s="2448">
        <f>N432</f>
        <v>2344.1125999999999</v>
      </c>
      <c r="O431" s="1947"/>
      <c r="P431" s="1941"/>
      <c r="Q431" s="2040"/>
      <c r="R431" s="2041"/>
      <c r="V431" s="2448">
        <f>V432</f>
        <v>500.00000000000006</v>
      </c>
      <c r="W431" s="2522">
        <f>W432</f>
        <v>500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16" customHeight="1" x14ac:dyDescent="0.3">
      <c r="A432" s="1505"/>
      <c r="B432" s="2012" t="s">
        <v>34</v>
      </c>
      <c r="C432" s="2250" t="s">
        <v>1055</v>
      </c>
      <c r="D432" s="1508"/>
      <c r="E432" s="1508"/>
      <c r="F432" s="937" t="s">
        <v>1316</v>
      </c>
      <c r="G432" s="937" t="s">
        <v>1</v>
      </c>
      <c r="H432" s="937" t="s">
        <v>463</v>
      </c>
      <c r="I432" s="937" t="s">
        <v>495</v>
      </c>
      <c r="J432" s="1087"/>
      <c r="K432" s="1064"/>
      <c r="L432" s="1064"/>
      <c r="M432" s="1563"/>
      <c r="N432" s="2448">
        <f>2434.1126-90</f>
        <v>2344.1125999999999</v>
      </c>
      <c r="O432" s="1947"/>
      <c r="P432" s="1941"/>
      <c r="Q432" s="2040"/>
      <c r="R432" s="2041"/>
      <c r="V432" s="2448">
        <f>624.565-124.565</f>
        <v>500.00000000000006</v>
      </c>
      <c r="W432" s="2522">
        <v>500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24.75" customHeight="1" x14ac:dyDescent="0.25">
      <c r="A433" s="1504">
        <v>9</v>
      </c>
      <c r="B433" s="2162" t="s">
        <v>1146</v>
      </c>
      <c r="C433" s="1508"/>
      <c r="D433" s="1508"/>
      <c r="E433" s="1508"/>
      <c r="F433" s="2969" t="s">
        <v>1142</v>
      </c>
      <c r="G433" s="2046"/>
      <c r="H433" s="2046"/>
      <c r="I433" s="1508"/>
      <c r="J433" s="1087"/>
      <c r="K433" s="1064"/>
      <c r="L433" s="1064"/>
      <c r="M433" s="1563"/>
      <c r="N433" s="2450">
        <f>N436+N441</f>
        <v>1595.5650000000001</v>
      </c>
      <c r="O433" s="1947"/>
      <c r="P433" s="1941"/>
      <c r="Q433" s="2057"/>
      <c r="R433" s="1988"/>
      <c r="V433" s="2450">
        <f>V436</f>
        <v>124.565</v>
      </c>
      <c r="W433" s="2521">
        <f>W436</f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45.75" hidden="1" customHeight="1" x14ac:dyDescent="0.25">
      <c r="A434" s="1504"/>
      <c r="B434" s="2269" t="s">
        <v>1027</v>
      </c>
      <c r="C434" s="1508"/>
      <c r="D434" s="1508"/>
      <c r="E434" s="1508"/>
      <c r="F434" s="2045" t="s">
        <v>1028</v>
      </c>
      <c r="G434" s="2046"/>
      <c r="H434" s="2046"/>
      <c r="I434" s="1508"/>
      <c r="J434" s="1087"/>
      <c r="K434" s="1064"/>
      <c r="L434" s="1064"/>
      <c r="M434" s="1563"/>
      <c r="N434" s="2448">
        <f>N436</f>
        <v>945.56500000000005</v>
      </c>
      <c r="O434" s="1947"/>
      <c r="P434" s="1941"/>
      <c r="Q434" s="2057"/>
      <c r="R434" s="1988"/>
      <c r="V434" s="2448">
        <f>V436</f>
        <v>124.565</v>
      </c>
      <c r="W434" s="2522">
        <f>W436</f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13" x14ac:dyDescent="0.25">
      <c r="A435" s="1504"/>
      <c r="B435" s="2269" t="s">
        <v>1297</v>
      </c>
      <c r="C435" s="1508"/>
      <c r="D435" s="1508"/>
      <c r="E435" s="1508"/>
      <c r="F435" s="2045" t="s">
        <v>1323</v>
      </c>
      <c r="G435" s="2046"/>
      <c r="H435" s="2046"/>
      <c r="I435" s="1508"/>
      <c r="J435" s="1087"/>
      <c r="K435" s="1064"/>
      <c r="L435" s="1064"/>
      <c r="M435" s="1563"/>
      <c r="N435" s="2448">
        <f>N436</f>
        <v>945.56500000000005</v>
      </c>
      <c r="O435" s="1947"/>
      <c r="P435" s="1941"/>
      <c r="Q435" s="2057"/>
      <c r="R435" s="1988"/>
      <c r="V435" s="2448">
        <f>V436</f>
        <v>124.565</v>
      </c>
      <c r="W435" s="2522">
        <f>W436</f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27" customHeight="1" x14ac:dyDescent="0.25">
      <c r="A436" s="1505"/>
      <c r="B436" s="2067" t="s">
        <v>1322</v>
      </c>
      <c r="C436" s="1508"/>
      <c r="D436" s="1508"/>
      <c r="E436" s="1508"/>
      <c r="F436" s="2045" t="s">
        <v>1321</v>
      </c>
      <c r="G436" s="2046"/>
      <c r="H436" s="2046"/>
      <c r="I436" s="1508"/>
      <c r="J436" s="1087"/>
      <c r="K436" s="1064"/>
      <c r="L436" s="1064"/>
      <c r="M436" s="1563"/>
      <c r="N436" s="2448">
        <f t="shared" ref="N436:N439" si="175">N437</f>
        <v>945.56500000000005</v>
      </c>
      <c r="O436" s="1947"/>
      <c r="P436" s="1941"/>
      <c r="Q436" s="2057"/>
      <c r="R436" s="1988"/>
      <c r="V436" s="2448">
        <f t="shared" ref="V436:W439" si="176">V437</f>
        <v>124.565</v>
      </c>
      <c r="W436" s="2522">
        <f t="shared" si="176"/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26" x14ac:dyDescent="0.25">
      <c r="A437" s="1505"/>
      <c r="B437" s="2067" t="s">
        <v>1249</v>
      </c>
      <c r="C437" s="1508"/>
      <c r="D437" s="1508"/>
      <c r="E437" s="1508"/>
      <c r="F437" s="532" t="s">
        <v>1320</v>
      </c>
      <c r="G437" s="2046"/>
      <c r="H437" s="2046"/>
      <c r="I437" s="1508"/>
      <c r="J437" s="1087"/>
      <c r="K437" s="1064"/>
      <c r="L437" s="1064"/>
      <c r="M437" s="1563"/>
      <c r="N437" s="2448">
        <f t="shared" si="175"/>
        <v>945.56500000000005</v>
      </c>
      <c r="O437" s="1947"/>
      <c r="P437" s="1941"/>
      <c r="Q437" s="2057"/>
      <c r="R437" s="1988"/>
      <c r="V437" s="2448">
        <f t="shared" si="176"/>
        <v>124.565</v>
      </c>
      <c r="W437" s="2522">
        <f t="shared" si="176"/>
        <v>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6" x14ac:dyDescent="0.25">
      <c r="A438" s="1505"/>
      <c r="B438" s="724" t="s">
        <v>948</v>
      </c>
      <c r="C438" s="1508"/>
      <c r="D438" s="1508"/>
      <c r="E438" s="1508"/>
      <c r="F438" s="532" t="s">
        <v>1320</v>
      </c>
      <c r="G438" s="2045" t="s">
        <v>955</v>
      </c>
      <c r="H438" s="2045"/>
      <c r="I438" s="1508"/>
      <c r="J438" s="1087"/>
      <c r="K438" s="1064"/>
      <c r="L438" s="1064"/>
      <c r="M438" s="1563"/>
      <c r="N438" s="2448">
        <f t="shared" si="175"/>
        <v>945.56500000000005</v>
      </c>
      <c r="O438" s="1947"/>
      <c r="P438" s="1941"/>
      <c r="Q438" s="2057"/>
      <c r="R438" s="1988"/>
      <c r="V438" s="2448">
        <f t="shared" si="176"/>
        <v>124.565</v>
      </c>
      <c r="W438" s="2522">
        <f t="shared" si="176"/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26" x14ac:dyDescent="0.25">
      <c r="A439" s="1505"/>
      <c r="B439" s="1544" t="s">
        <v>454</v>
      </c>
      <c r="C439" s="1508"/>
      <c r="D439" s="1508"/>
      <c r="E439" s="1508"/>
      <c r="F439" s="532" t="s">
        <v>1320</v>
      </c>
      <c r="G439" s="2045" t="s">
        <v>1</v>
      </c>
      <c r="H439" s="2045"/>
      <c r="I439" s="1508"/>
      <c r="J439" s="1087"/>
      <c r="K439" s="1064"/>
      <c r="L439" s="1064"/>
      <c r="M439" s="1563"/>
      <c r="N439" s="2448">
        <f t="shared" si="175"/>
        <v>945.56500000000005</v>
      </c>
      <c r="O439" s="1947"/>
      <c r="P439" s="1941"/>
      <c r="Q439" s="2057"/>
      <c r="R439" s="1988"/>
      <c r="V439" s="2448">
        <f>V440</f>
        <v>124.565</v>
      </c>
      <c r="W439" s="2522">
        <f t="shared" si="176"/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13" x14ac:dyDescent="0.3">
      <c r="A440" s="1505"/>
      <c r="B440" s="744" t="s">
        <v>39</v>
      </c>
      <c r="C440" s="1508"/>
      <c r="D440" s="1508"/>
      <c r="E440" s="1508"/>
      <c r="F440" s="532" t="s">
        <v>1320</v>
      </c>
      <c r="G440" s="2045" t="s">
        <v>1</v>
      </c>
      <c r="H440" s="2045" t="s">
        <v>463</v>
      </c>
      <c r="I440" s="1508" t="s">
        <v>488</v>
      </c>
      <c r="J440" s="1087"/>
      <c r="K440" s="1064"/>
      <c r="L440" s="1064"/>
      <c r="M440" s="1563"/>
      <c r="N440" s="2448">
        <v>945.56500000000005</v>
      </c>
      <c r="O440" s="1947"/>
      <c r="P440" s="1941"/>
      <c r="Q440" s="2057"/>
      <c r="R440" s="1988"/>
      <c r="V440" s="2448">
        <v>124.565</v>
      </c>
      <c r="W440" s="2522"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26" x14ac:dyDescent="0.3">
      <c r="A441" s="3008"/>
      <c r="B441" s="2012" t="s">
        <v>1376</v>
      </c>
      <c r="C441" s="1508"/>
      <c r="D441" s="1508"/>
      <c r="E441" s="1508"/>
      <c r="F441" s="532" t="s">
        <v>1372</v>
      </c>
      <c r="G441" s="2045"/>
      <c r="H441" s="2045"/>
      <c r="I441" s="1508"/>
      <c r="J441" s="1087"/>
      <c r="K441" s="1064"/>
      <c r="L441" s="1064"/>
      <c r="M441" s="1563"/>
      <c r="N441" s="2448">
        <f>N442</f>
        <v>650</v>
      </c>
      <c r="O441" s="1947"/>
      <c r="P441" s="1941"/>
      <c r="Q441" s="1987"/>
      <c r="R441" s="1988"/>
      <c r="V441" s="2448">
        <v>0</v>
      </c>
      <c r="W441" s="2522"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6" x14ac:dyDescent="0.3">
      <c r="A442" s="1505"/>
      <c r="B442" s="2012" t="s">
        <v>1377</v>
      </c>
      <c r="C442" s="1508"/>
      <c r="D442" s="1508"/>
      <c r="E442" s="1508"/>
      <c r="F442" s="532" t="s">
        <v>1373</v>
      </c>
      <c r="G442" s="2045"/>
      <c r="H442" s="2045"/>
      <c r="I442" s="1508"/>
      <c r="J442" s="1087"/>
      <c r="K442" s="1064"/>
      <c r="L442" s="1064"/>
      <c r="M442" s="1563"/>
      <c r="N442" s="2448">
        <f>N445</f>
        <v>650</v>
      </c>
      <c r="O442" s="1947"/>
      <c r="P442" s="1941"/>
      <c r="Q442" s="1987"/>
      <c r="R442" s="1988"/>
      <c r="V442" s="2448">
        <v>0</v>
      </c>
      <c r="W442" s="2522"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6" x14ac:dyDescent="0.25">
      <c r="A443" s="1505"/>
      <c r="B443" s="724" t="s">
        <v>948</v>
      </c>
      <c r="C443" s="1508"/>
      <c r="D443" s="1508"/>
      <c r="E443" s="1508"/>
      <c r="F443" s="532" t="s">
        <v>1373</v>
      </c>
      <c r="G443" s="2045" t="s">
        <v>955</v>
      </c>
      <c r="H443" s="2045"/>
      <c r="I443" s="1508"/>
      <c r="J443" s="1087"/>
      <c r="K443" s="1064"/>
      <c r="L443" s="1064"/>
      <c r="M443" s="1563"/>
      <c r="N443" s="2448">
        <v>650</v>
      </c>
      <c r="O443" s="1947"/>
      <c r="P443" s="1941"/>
      <c r="Q443" s="1987"/>
      <c r="R443" s="1988"/>
      <c r="V443" s="2448">
        <v>0</v>
      </c>
      <c r="W443" s="2522">
        <v>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6" x14ac:dyDescent="0.25">
      <c r="A444" s="1505"/>
      <c r="B444" s="1544" t="s">
        <v>454</v>
      </c>
      <c r="C444" s="1508"/>
      <c r="D444" s="1508"/>
      <c r="E444" s="1508"/>
      <c r="F444" s="532" t="s">
        <v>1373</v>
      </c>
      <c r="G444" s="2045" t="s">
        <v>1</v>
      </c>
      <c r="H444" s="2045"/>
      <c r="I444" s="1508"/>
      <c r="J444" s="1087"/>
      <c r="K444" s="1064"/>
      <c r="L444" s="1064"/>
      <c r="M444" s="1563"/>
      <c r="N444" s="2448">
        <v>650</v>
      </c>
      <c r="O444" s="1947"/>
      <c r="P444" s="1941"/>
      <c r="Q444" s="1987"/>
      <c r="R444" s="1988"/>
      <c r="V444" s="2448">
        <v>0</v>
      </c>
      <c r="W444" s="2522"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" x14ac:dyDescent="0.3">
      <c r="A445" s="1505"/>
      <c r="B445" s="744" t="s">
        <v>39</v>
      </c>
      <c r="C445" s="1508"/>
      <c r="D445" s="1508"/>
      <c r="E445" s="1508"/>
      <c r="F445" s="532" t="s">
        <v>1373</v>
      </c>
      <c r="G445" s="2045" t="s">
        <v>1</v>
      </c>
      <c r="H445" s="2045" t="s">
        <v>463</v>
      </c>
      <c r="I445" s="1508" t="s">
        <v>488</v>
      </c>
      <c r="J445" s="1087"/>
      <c r="K445" s="1064"/>
      <c r="L445" s="1064"/>
      <c r="M445" s="1563"/>
      <c r="N445" s="2448">
        <v>650</v>
      </c>
      <c r="O445" s="1947"/>
      <c r="P445" s="1941"/>
      <c r="Q445" s="1987"/>
      <c r="R445" s="1988"/>
      <c r="V445" s="2448">
        <v>0</v>
      </c>
      <c r="W445" s="2522"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65" x14ac:dyDescent="0.25">
      <c r="A446" s="1504">
        <v>10</v>
      </c>
      <c r="B446" s="2033" t="s">
        <v>917</v>
      </c>
      <c r="C446" s="1508"/>
      <c r="D446" s="1508"/>
      <c r="E446" s="1508"/>
      <c r="F446" s="34" t="s">
        <v>1241</v>
      </c>
      <c r="G446" s="2045"/>
      <c r="H446" s="2045"/>
      <c r="I446" s="1508"/>
      <c r="J446" s="1087"/>
      <c r="K446" s="1064"/>
      <c r="L446" s="1064"/>
      <c r="M446" s="1563"/>
      <c r="N446" s="2450">
        <f>N447</f>
        <v>1367.4835</v>
      </c>
      <c r="O446" s="1994">
        <f>O448</f>
        <v>0</v>
      </c>
      <c r="P446" s="1939">
        <f>P448</f>
        <v>0</v>
      </c>
      <c r="Q446" s="1995">
        <f>Q448</f>
        <v>0</v>
      </c>
      <c r="R446" s="1985">
        <f>R448</f>
        <v>0</v>
      </c>
      <c r="V446" s="2450">
        <f>V448</f>
        <v>1940</v>
      </c>
      <c r="W446" s="2521">
        <f>W448</f>
        <v>970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13" x14ac:dyDescent="0.25">
      <c r="A447" s="1504"/>
      <c r="B447" s="2984" t="s">
        <v>1263</v>
      </c>
      <c r="C447" s="1508"/>
      <c r="D447" s="1508"/>
      <c r="E447" s="1508"/>
      <c r="F447" s="9" t="s">
        <v>1327</v>
      </c>
      <c r="G447" s="2045"/>
      <c r="H447" s="2045"/>
      <c r="I447" s="1508"/>
      <c r="J447" s="1087"/>
      <c r="K447" s="1064"/>
      <c r="L447" s="1064"/>
      <c r="M447" s="1563"/>
      <c r="N447" s="2448">
        <f>N448</f>
        <v>1367.4835</v>
      </c>
      <c r="O447" s="1947"/>
      <c r="P447" s="1941"/>
      <c r="Q447" s="1987"/>
      <c r="R447" s="1988"/>
      <c r="V447" s="2448">
        <f>V448</f>
        <v>1940</v>
      </c>
      <c r="W447" s="2522">
        <f>W448</f>
        <v>970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9.5" customHeight="1" x14ac:dyDescent="0.25">
      <c r="A448" s="1505"/>
      <c r="B448" s="2984" t="s">
        <v>1326</v>
      </c>
      <c r="C448" s="1508"/>
      <c r="D448" s="1508"/>
      <c r="E448" s="1508"/>
      <c r="F448" s="9" t="s">
        <v>1325</v>
      </c>
      <c r="G448" s="2045"/>
      <c r="H448" s="2045"/>
      <c r="I448" s="1508"/>
      <c r="J448" s="1087"/>
      <c r="K448" s="1064"/>
      <c r="L448" s="1064"/>
      <c r="M448" s="1563"/>
      <c r="N448" s="2448">
        <f>N453+N452</f>
        <v>1367.4835</v>
      </c>
      <c r="O448" s="1947"/>
      <c r="P448" s="1941"/>
      <c r="Q448" s="1987"/>
      <c r="R448" s="1988"/>
      <c r="V448" s="2448">
        <f>V453</f>
        <v>1940</v>
      </c>
      <c r="W448" s="2522">
        <f>W453</f>
        <v>970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9.5" customHeight="1" x14ac:dyDescent="0.25">
      <c r="A449" s="1505"/>
      <c r="B449" s="2984" t="s">
        <v>1356</v>
      </c>
      <c r="C449" s="1508"/>
      <c r="D449" s="1508"/>
      <c r="E449" s="1508"/>
      <c r="F449" s="2026" t="s">
        <v>1355</v>
      </c>
      <c r="G449" s="2045"/>
      <c r="H449" s="2045"/>
      <c r="I449" s="1508"/>
      <c r="J449" s="1087"/>
      <c r="K449" s="1064"/>
      <c r="L449" s="1064"/>
      <c r="M449" s="1563"/>
      <c r="N449" s="2448">
        <f>N450</f>
        <v>490</v>
      </c>
      <c r="O449" s="1947"/>
      <c r="P449" s="1941"/>
      <c r="Q449" s="1987"/>
      <c r="R449" s="1988"/>
      <c r="V449" s="2448">
        <f t="shared" ref="V449:W451" si="177">V450</f>
        <v>0</v>
      </c>
      <c r="W449" s="2522">
        <f t="shared" si="177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29.5" customHeight="1" x14ac:dyDescent="0.3">
      <c r="A450" s="1505"/>
      <c r="B450" s="2012" t="s">
        <v>1048</v>
      </c>
      <c r="C450" s="1508"/>
      <c r="D450" s="1508"/>
      <c r="E450" s="1508"/>
      <c r="F450" s="2026" t="s">
        <v>1355</v>
      </c>
      <c r="G450" s="2045" t="s">
        <v>955</v>
      </c>
      <c r="H450" s="2045"/>
      <c r="I450" s="1508"/>
      <c r="J450" s="1087"/>
      <c r="K450" s="1064"/>
      <c r="L450" s="1064"/>
      <c r="M450" s="1563"/>
      <c r="N450" s="2448">
        <f>N451</f>
        <v>490</v>
      </c>
      <c r="O450" s="1947"/>
      <c r="P450" s="1941"/>
      <c r="Q450" s="1987"/>
      <c r="R450" s="1988"/>
      <c r="V450" s="2448">
        <f t="shared" si="177"/>
        <v>0</v>
      </c>
      <c r="W450" s="2522">
        <f t="shared" si="177"/>
        <v>0</v>
      </c>
      <c r="Y450" s="1"/>
      <c r="Z450" s="23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29.5" customHeight="1" x14ac:dyDescent="0.25">
      <c r="A451" s="1505"/>
      <c r="B451" s="1544" t="s">
        <v>454</v>
      </c>
      <c r="C451" s="1508"/>
      <c r="D451" s="1508"/>
      <c r="E451" s="1508"/>
      <c r="F451" s="2026" t="s">
        <v>1355</v>
      </c>
      <c r="G451" s="2045" t="s">
        <v>1</v>
      </c>
      <c r="H451" s="2045"/>
      <c r="I451" s="1508"/>
      <c r="J451" s="1087"/>
      <c r="K451" s="1064"/>
      <c r="L451" s="1064"/>
      <c r="M451" s="1563"/>
      <c r="N451" s="2448">
        <f>N452</f>
        <v>490</v>
      </c>
      <c r="O451" s="1947"/>
      <c r="P451" s="1941"/>
      <c r="Q451" s="1987"/>
      <c r="R451" s="1988"/>
      <c r="V451" s="2448">
        <f t="shared" si="177"/>
        <v>0</v>
      </c>
      <c r="W451" s="2522">
        <f t="shared" si="177"/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29.5" customHeight="1" x14ac:dyDescent="0.25">
      <c r="A452" s="1505"/>
      <c r="B452" s="3004" t="s">
        <v>39</v>
      </c>
      <c r="C452" s="1508"/>
      <c r="D452" s="1508"/>
      <c r="E452" s="1508"/>
      <c r="F452" s="2026" t="s">
        <v>1355</v>
      </c>
      <c r="G452" s="2045" t="s">
        <v>1</v>
      </c>
      <c r="H452" s="9" t="s">
        <v>463</v>
      </c>
      <c r="I452" s="9" t="s">
        <v>488</v>
      </c>
      <c r="J452" s="1087"/>
      <c r="K452" s="1064"/>
      <c r="L452" s="1064"/>
      <c r="M452" s="1563"/>
      <c r="N452" s="2448">
        <v>490</v>
      </c>
      <c r="O452" s="1947"/>
      <c r="P452" s="1941"/>
      <c r="Q452" s="1987"/>
      <c r="R452" s="1988"/>
      <c r="V452" s="2448">
        <v>0</v>
      </c>
      <c r="W452" s="2522"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8.5" customHeight="1" x14ac:dyDescent="0.25">
      <c r="A453" s="1505"/>
      <c r="B453" s="2997" t="s">
        <v>1244</v>
      </c>
      <c r="C453" s="1508"/>
      <c r="D453" s="1508"/>
      <c r="E453" s="1508"/>
      <c r="F453" s="9" t="s">
        <v>1324</v>
      </c>
      <c r="G453" s="2045"/>
      <c r="H453" s="2045"/>
      <c r="I453" s="1508"/>
      <c r="J453" s="1087"/>
      <c r="K453" s="1064"/>
      <c r="L453" s="1064"/>
      <c r="M453" s="1563"/>
      <c r="N453" s="2448">
        <f>N454</f>
        <v>877.48350000000005</v>
      </c>
      <c r="O453" s="1947">
        <f>O465</f>
        <v>0</v>
      </c>
      <c r="P453" s="1941">
        <f>P465</f>
        <v>0</v>
      </c>
      <c r="Q453" s="1987">
        <f>Q465</f>
        <v>0</v>
      </c>
      <c r="R453" s="1988">
        <f>R465</f>
        <v>0</v>
      </c>
      <c r="V453" s="2448">
        <f>V454</f>
        <v>1940</v>
      </c>
      <c r="W453" s="2522">
        <f>W465+W456</f>
        <v>970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13" x14ac:dyDescent="0.25">
      <c r="A454" s="1505"/>
      <c r="B454" s="2968" t="s">
        <v>1065</v>
      </c>
      <c r="C454" s="9"/>
      <c r="D454" s="9"/>
      <c r="E454" s="9"/>
      <c r="F454" s="9" t="s">
        <v>1324</v>
      </c>
      <c r="G454" s="9" t="s">
        <v>1064</v>
      </c>
      <c r="H454" s="2045"/>
      <c r="I454" s="1508"/>
      <c r="J454" s="1087"/>
      <c r="K454" s="1064"/>
      <c r="L454" s="1064"/>
      <c r="M454" s="1563"/>
      <c r="N454" s="2448">
        <f>N455</f>
        <v>877.48350000000005</v>
      </c>
      <c r="O454" s="1947"/>
      <c r="P454" s="1941"/>
      <c r="Q454" s="1987"/>
      <c r="R454" s="1988"/>
      <c r="V454" s="2448">
        <f>V455</f>
        <v>1940</v>
      </c>
      <c r="W454" s="2522">
        <f>W455</f>
        <v>970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26" x14ac:dyDescent="0.25">
      <c r="A455" s="1505"/>
      <c r="B455" s="1544" t="s">
        <v>523</v>
      </c>
      <c r="C455" s="9"/>
      <c r="D455" s="9"/>
      <c r="E455" s="9"/>
      <c r="F455" s="9" t="s">
        <v>1324</v>
      </c>
      <c r="G455" s="9" t="s">
        <v>521</v>
      </c>
      <c r="H455" s="9"/>
      <c r="I455" s="9"/>
      <c r="J455" s="1087"/>
      <c r="K455" s="1064"/>
      <c r="L455" s="1064"/>
      <c r="M455" s="1563"/>
      <c r="N455" s="2448">
        <f>N456</f>
        <v>877.48350000000005</v>
      </c>
      <c r="O455" s="1947">
        <f t="shared" ref="O455:R455" si="178">O456</f>
        <v>402.59899999999999</v>
      </c>
      <c r="P455" s="1941">
        <f t="shared" si="178"/>
        <v>442.85899999999998</v>
      </c>
      <c r="Q455" s="1987">
        <f t="shared" si="178"/>
        <v>0</v>
      </c>
      <c r="R455" s="1988">
        <f t="shared" si="178"/>
        <v>0</v>
      </c>
      <c r="V455" s="2448">
        <f>V456</f>
        <v>1940</v>
      </c>
      <c r="W455" s="2522">
        <f>W456</f>
        <v>970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13" x14ac:dyDescent="0.3">
      <c r="A456" s="1505"/>
      <c r="B456" s="744" t="s">
        <v>39</v>
      </c>
      <c r="C456" s="9"/>
      <c r="D456" s="9"/>
      <c r="E456" s="9"/>
      <c r="F456" s="9" t="s">
        <v>1324</v>
      </c>
      <c r="G456" s="9" t="s">
        <v>521</v>
      </c>
      <c r="H456" s="9" t="s">
        <v>463</v>
      </c>
      <c r="I456" s="9" t="s">
        <v>488</v>
      </c>
      <c r="J456" s="1087"/>
      <c r="K456" s="1064"/>
      <c r="L456" s="1064"/>
      <c r="M456" s="1563"/>
      <c r="N456" s="2448">
        <f>1367.4835-490</f>
        <v>877.48350000000005</v>
      </c>
      <c r="O456" s="1947">
        <v>402.59899999999999</v>
      </c>
      <c r="P456" s="1941">
        <v>442.85899999999998</v>
      </c>
      <c r="Q456" s="1987">
        <v>0</v>
      </c>
      <c r="R456" s="1988">
        <v>0</v>
      </c>
      <c r="V456" s="2448">
        <v>1940</v>
      </c>
      <c r="W456" s="2522">
        <v>970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ht="39" x14ac:dyDescent="0.3">
      <c r="A457" s="91">
        <v>11</v>
      </c>
      <c r="B457" s="2161" t="s">
        <v>1049</v>
      </c>
      <c r="C457" s="1508"/>
      <c r="D457" s="1508"/>
      <c r="E457" s="1508"/>
      <c r="F457" s="2249" t="s">
        <v>1045</v>
      </c>
      <c r="G457" s="2046"/>
      <c r="H457" s="2046"/>
      <c r="I457" s="1508"/>
      <c r="J457" s="1087"/>
      <c r="K457" s="1064"/>
      <c r="L457" s="1064"/>
      <c r="M457" s="1563"/>
      <c r="N457" s="2448">
        <f>N465+N463</f>
        <v>1230.1120000000001</v>
      </c>
      <c r="O457" s="1947"/>
      <c r="P457" s="1941"/>
      <c r="Q457" s="2040"/>
      <c r="R457" s="2041"/>
      <c r="V457" s="2448">
        <f>V465</f>
        <v>874.66700000000003</v>
      </c>
      <c r="W457" s="2522">
        <f>W465</f>
        <v>0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13" x14ac:dyDescent="0.25">
      <c r="A458" s="1504"/>
      <c r="B458" s="2984" t="s">
        <v>1263</v>
      </c>
      <c r="C458" s="1508"/>
      <c r="D458" s="1508"/>
      <c r="E458" s="1508"/>
      <c r="F458" s="532" t="s">
        <v>1357</v>
      </c>
      <c r="G458" s="2046"/>
      <c r="H458" s="2046"/>
      <c r="I458" s="1508"/>
      <c r="J458" s="1087"/>
      <c r="K458" s="1064"/>
      <c r="L458" s="1064"/>
      <c r="M458" s="1563"/>
      <c r="N458" s="2448">
        <f>N459</f>
        <v>60</v>
      </c>
      <c r="O458" s="1947"/>
      <c r="P458" s="1941"/>
      <c r="Q458" s="2040"/>
      <c r="R458" s="2041"/>
      <c r="V458" s="2448">
        <f t="shared" ref="V458:W462" si="179">V459</f>
        <v>0</v>
      </c>
      <c r="W458" s="2522">
        <f t="shared" si="179"/>
        <v>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ht="26" x14ac:dyDescent="0.25">
      <c r="A459" s="1504"/>
      <c r="B459" s="2984" t="s">
        <v>1359</v>
      </c>
      <c r="C459" s="1508"/>
      <c r="D459" s="1508"/>
      <c r="E459" s="1508"/>
      <c r="F459" s="532" t="s">
        <v>1358</v>
      </c>
      <c r="G459" s="2046"/>
      <c r="H459" s="2046"/>
      <c r="I459" s="1508"/>
      <c r="J459" s="1087"/>
      <c r="K459" s="1064"/>
      <c r="L459" s="1064"/>
      <c r="M459" s="1563"/>
      <c r="N459" s="2448">
        <f>N460</f>
        <v>60</v>
      </c>
      <c r="O459" s="1947"/>
      <c r="P459" s="1941"/>
      <c r="Q459" s="2040"/>
      <c r="R459" s="2041"/>
      <c r="V459" s="2448">
        <f t="shared" si="179"/>
        <v>0</v>
      </c>
      <c r="W459" s="2522">
        <f t="shared" si="179"/>
        <v>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26" x14ac:dyDescent="0.25">
      <c r="A460" s="1504"/>
      <c r="B460" s="2984" t="s">
        <v>1361</v>
      </c>
      <c r="C460" s="1508"/>
      <c r="D460" s="1508"/>
      <c r="E460" s="1508"/>
      <c r="F460" s="532" t="s">
        <v>1360</v>
      </c>
      <c r="G460" s="2046"/>
      <c r="H460" s="2046"/>
      <c r="I460" s="1508"/>
      <c r="J460" s="1087"/>
      <c r="K460" s="1064"/>
      <c r="L460" s="1064"/>
      <c r="M460" s="1563"/>
      <c r="N460" s="2448">
        <f>N461</f>
        <v>60</v>
      </c>
      <c r="O460" s="1947"/>
      <c r="P460" s="1941"/>
      <c r="Q460" s="2040"/>
      <c r="R460" s="2041"/>
      <c r="V460" s="2448">
        <f t="shared" si="179"/>
        <v>0</v>
      </c>
      <c r="W460" s="2522">
        <f t="shared" si="179"/>
        <v>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ht="13" x14ac:dyDescent="0.25">
      <c r="A461" s="1504"/>
      <c r="B461" s="1182" t="s">
        <v>1048</v>
      </c>
      <c r="C461" s="1508"/>
      <c r="D461" s="1508"/>
      <c r="E461" s="1508"/>
      <c r="F461" s="532" t="s">
        <v>1360</v>
      </c>
      <c r="G461" s="2045" t="s">
        <v>955</v>
      </c>
      <c r="H461" s="2046"/>
      <c r="I461" s="1508"/>
      <c r="J461" s="1087"/>
      <c r="K461" s="1064"/>
      <c r="L461" s="1064"/>
      <c r="M461" s="1563"/>
      <c r="N461" s="2448">
        <f>N462</f>
        <v>60</v>
      </c>
      <c r="O461" s="1947"/>
      <c r="P461" s="1941"/>
      <c r="Q461" s="2040"/>
      <c r="R461" s="2041"/>
      <c r="V461" s="2448">
        <f t="shared" si="179"/>
        <v>0</v>
      </c>
      <c r="W461" s="2522">
        <f t="shared" si="179"/>
        <v>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ht="13" x14ac:dyDescent="0.25">
      <c r="A462" s="1504"/>
      <c r="B462" s="1182" t="s">
        <v>454</v>
      </c>
      <c r="C462" s="1508"/>
      <c r="D462" s="1508"/>
      <c r="E462" s="1508"/>
      <c r="F462" s="532" t="s">
        <v>1360</v>
      </c>
      <c r="G462" s="2045" t="s">
        <v>1</v>
      </c>
      <c r="H462" s="2046"/>
      <c r="I462" s="1508"/>
      <c r="J462" s="1087"/>
      <c r="K462" s="1064"/>
      <c r="L462" s="1064"/>
      <c r="M462" s="1563"/>
      <c r="N462" s="2448">
        <f>N463</f>
        <v>60</v>
      </c>
      <c r="O462" s="1947"/>
      <c r="P462" s="1941"/>
      <c r="Q462" s="2040"/>
      <c r="R462" s="2041"/>
      <c r="V462" s="2448">
        <f t="shared" si="179"/>
        <v>0</v>
      </c>
      <c r="W462" s="2522">
        <f t="shared" si="179"/>
        <v>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ht="13" x14ac:dyDescent="0.3">
      <c r="A463" s="1504"/>
      <c r="B463" s="2012" t="s">
        <v>34</v>
      </c>
      <c r="C463" s="1508"/>
      <c r="D463" s="1508"/>
      <c r="E463" s="1508"/>
      <c r="F463" s="532" t="s">
        <v>1360</v>
      </c>
      <c r="G463" s="2045" t="s">
        <v>1</v>
      </c>
      <c r="H463" s="2045" t="s">
        <v>463</v>
      </c>
      <c r="I463" s="1508" t="s">
        <v>495</v>
      </c>
      <c r="J463" s="1087"/>
      <c r="K463" s="1064"/>
      <c r="L463" s="1064"/>
      <c r="M463" s="1563"/>
      <c r="N463" s="2448">
        <v>60</v>
      </c>
      <c r="O463" s="1947"/>
      <c r="P463" s="1941"/>
      <c r="Q463" s="2040"/>
      <c r="R463" s="2041"/>
      <c r="V463" s="2448">
        <v>0</v>
      </c>
      <c r="W463" s="2522">
        <v>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ht="13" x14ac:dyDescent="0.3">
      <c r="A464" s="1504"/>
      <c r="B464" s="2012" t="s">
        <v>1297</v>
      </c>
      <c r="C464" s="1508"/>
      <c r="D464" s="1508"/>
      <c r="E464" s="1508"/>
      <c r="F464" s="937" t="s">
        <v>1331</v>
      </c>
      <c r="G464" s="2046"/>
      <c r="H464" s="2046"/>
      <c r="I464" s="1508"/>
      <c r="J464" s="1087"/>
      <c r="K464" s="1064"/>
      <c r="L464" s="1064"/>
      <c r="M464" s="1563"/>
      <c r="N464" s="2448">
        <f>N465</f>
        <v>1170.1120000000001</v>
      </c>
      <c r="O464" s="1947"/>
      <c r="P464" s="1941"/>
      <c r="Q464" s="2040"/>
      <c r="R464" s="2041"/>
      <c r="V464" s="2448">
        <f>V465</f>
        <v>874.66700000000003</v>
      </c>
      <c r="W464" s="2522">
        <f>W465</f>
        <v>0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ht="26.5" customHeight="1" x14ac:dyDescent="0.3">
      <c r="A465" s="1505"/>
      <c r="B465" s="2012" t="s">
        <v>1330</v>
      </c>
      <c r="C465" s="1508"/>
      <c r="D465" s="1508"/>
      <c r="E465" s="1508"/>
      <c r="F465" s="937" t="s">
        <v>1329</v>
      </c>
      <c r="G465" s="2046"/>
      <c r="H465" s="2046"/>
      <c r="I465" s="1508"/>
      <c r="J465" s="1087"/>
      <c r="K465" s="1064"/>
      <c r="L465" s="1064"/>
      <c r="M465" s="1563"/>
      <c r="N465" s="2448">
        <f>N466</f>
        <v>1170.1120000000001</v>
      </c>
      <c r="O465" s="1947"/>
      <c r="P465" s="1941"/>
      <c r="Q465" s="2040"/>
      <c r="R465" s="2041"/>
      <c r="V465" s="2448">
        <f t="shared" ref="V465:W468" si="180">V466</f>
        <v>874.66700000000003</v>
      </c>
      <c r="W465" s="2522">
        <f t="shared" si="180"/>
        <v>0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ht="26" x14ac:dyDescent="0.3">
      <c r="A466" s="1505"/>
      <c r="B466" s="2012" t="s">
        <v>1245</v>
      </c>
      <c r="C466" s="1508"/>
      <c r="D466" s="1508"/>
      <c r="E466" s="1508"/>
      <c r="F466" s="937" t="s">
        <v>1328</v>
      </c>
      <c r="G466" s="2046"/>
      <c r="H466" s="2046"/>
      <c r="I466" s="1508"/>
      <c r="J466" s="1087"/>
      <c r="K466" s="1064"/>
      <c r="L466" s="1064"/>
      <c r="M466" s="1563"/>
      <c r="N466" s="2448">
        <f>N467</f>
        <v>1170.1120000000001</v>
      </c>
      <c r="O466" s="1947"/>
      <c r="P466" s="1941"/>
      <c r="Q466" s="2040"/>
      <c r="R466" s="2041"/>
      <c r="V466" s="2448">
        <f t="shared" si="180"/>
        <v>874.66700000000003</v>
      </c>
      <c r="W466" s="2522">
        <f t="shared" si="180"/>
        <v>0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31" customHeight="1" x14ac:dyDescent="0.3">
      <c r="A467" s="1505"/>
      <c r="B467" s="2012" t="s">
        <v>1048</v>
      </c>
      <c r="C467" s="1508"/>
      <c r="D467" s="1508"/>
      <c r="E467" s="1508"/>
      <c r="F467" s="937" t="s">
        <v>1328</v>
      </c>
      <c r="G467" s="2045" t="s">
        <v>955</v>
      </c>
      <c r="H467" s="2046"/>
      <c r="I467" s="1508"/>
      <c r="J467" s="1087"/>
      <c r="K467" s="1064"/>
      <c r="L467" s="1064"/>
      <c r="M467" s="1563"/>
      <c r="N467" s="2448">
        <f>N468</f>
        <v>1170.1120000000001</v>
      </c>
      <c r="O467" s="1947"/>
      <c r="P467" s="1941"/>
      <c r="Q467" s="2040"/>
      <c r="R467" s="2041"/>
      <c r="V467" s="2448">
        <f t="shared" si="180"/>
        <v>874.66700000000003</v>
      </c>
      <c r="W467" s="2522">
        <f t="shared" si="180"/>
        <v>0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ht="26" x14ac:dyDescent="0.25">
      <c r="A468" s="1505"/>
      <c r="B468" s="1544" t="s">
        <v>454</v>
      </c>
      <c r="C468" s="1508"/>
      <c r="D468" s="1508"/>
      <c r="E468" s="1508"/>
      <c r="F468" s="937" t="s">
        <v>1328</v>
      </c>
      <c r="G468" s="2045" t="s">
        <v>1</v>
      </c>
      <c r="H468" s="2046"/>
      <c r="I468" s="1508"/>
      <c r="J468" s="1087"/>
      <c r="K468" s="1064"/>
      <c r="L468" s="1064"/>
      <c r="M468" s="1563"/>
      <c r="N468" s="2448">
        <f>N469</f>
        <v>1170.1120000000001</v>
      </c>
      <c r="O468" s="1947"/>
      <c r="P468" s="1941"/>
      <c r="Q468" s="2040"/>
      <c r="R468" s="2041"/>
      <c r="V468" s="2448">
        <f t="shared" si="180"/>
        <v>874.66700000000003</v>
      </c>
      <c r="W468" s="2522">
        <f t="shared" si="180"/>
        <v>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ht="13" x14ac:dyDescent="0.3">
      <c r="A469" s="1505"/>
      <c r="B469" s="2012" t="s">
        <v>34</v>
      </c>
      <c r="C469" s="1508"/>
      <c r="D469" s="1508"/>
      <c r="E469" s="1508"/>
      <c r="F469" s="937" t="s">
        <v>1328</v>
      </c>
      <c r="G469" s="2045" t="s">
        <v>1</v>
      </c>
      <c r="H469" s="2045" t="s">
        <v>463</v>
      </c>
      <c r="I469" s="1508" t="s">
        <v>495</v>
      </c>
      <c r="J469" s="1087"/>
      <c r="K469" s="1064"/>
      <c r="L469" s="1064"/>
      <c r="M469" s="1563"/>
      <c r="N469" s="2448">
        <f>1230.112-60</f>
        <v>1170.1120000000001</v>
      </c>
      <c r="O469" s="1947"/>
      <c r="P469" s="1941"/>
      <c r="Q469" s="2040"/>
      <c r="R469" s="2041"/>
      <c r="V469" s="2448">
        <v>874.66700000000003</v>
      </c>
      <c r="W469" s="2522">
        <v>0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ht="39" x14ac:dyDescent="0.25">
      <c r="A470" s="1504">
        <v>12</v>
      </c>
      <c r="B470" s="2162" t="s">
        <v>1094</v>
      </c>
      <c r="C470" s="9"/>
      <c r="D470" s="9"/>
      <c r="E470" s="9"/>
      <c r="F470" s="1511" t="s">
        <v>952</v>
      </c>
      <c r="G470" s="1511"/>
      <c r="H470" s="1511"/>
      <c r="I470" s="1511"/>
      <c r="J470" s="1087"/>
      <c r="K470" s="1064"/>
      <c r="L470" s="1064"/>
      <c r="M470" s="1563"/>
      <c r="N470" s="2450">
        <f>N476+N482</f>
        <v>9848.8388100000011</v>
      </c>
      <c r="O470" s="1994"/>
      <c r="P470" s="1939"/>
      <c r="Q470" s="2036">
        <f>Q485+Q490</f>
        <v>1265</v>
      </c>
      <c r="R470" s="2037">
        <f>R485+R490</f>
        <v>1391.5</v>
      </c>
      <c r="V470" s="2450">
        <f t="shared" ref="V470:W470" si="181">V490+V485</f>
        <v>901</v>
      </c>
      <c r="W470" s="2521">
        <f t="shared" si="181"/>
        <v>2000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t="13" x14ac:dyDescent="0.25">
      <c r="A471" s="1505"/>
      <c r="B471" s="2009" t="s">
        <v>1340</v>
      </c>
      <c r="C471" s="9"/>
      <c r="D471" s="9"/>
      <c r="E471" s="9"/>
      <c r="F471" s="532" t="s">
        <v>1339</v>
      </c>
      <c r="G471" s="1513"/>
      <c r="H471" s="1513"/>
      <c r="I471" s="1513"/>
      <c r="J471" s="1087"/>
      <c r="K471" s="1064"/>
      <c r="L471" s="1064"/>
      <c r="M471" s="1563"/>
      <c r="N471" s="2448">
        <f>N473</f>
        <v>9748.8388100000011</v>
      </c>
      <c r="O471" s="1947"/>
      <c r="P471" s="1941"/>
      <c r="Q471" s="2040">
        <f>Q473</f>
        <v>1265</v>
      </c>
      <c r="R471" s="2041">
        <f>R473</f>
        <v>1391.5</v>
      </c>
      <c r="V471" s="2448">
        <f>V473</f>
        <v>901</v>
      </c>
      <c r="W471" s="2522">
        <f>W473</f>
        <v>1000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13" x14ac:dyDescent="0.25">
      <c r="A472" s="1505"/>
      <c r="B472" s="2009" t="s">
        <v>1019</v>
      </c>
      <c r="C472" s="9"/>
      <c r="D472" s="9"/>
      <c r="E472" s="9"/>
      <c r="F472" s="532" t="s">
        <v>1338</v>
      </c>
      <c r="G472" s="1513"/>
      <c r="H472" s="1513"/>
      <c r="I472" s="1513"/>
      <c r="J472" s="1087"/>
      <c r="K472" s="1064"/>
      <c r="L472" s="1064"/>
      <c r="M472" s="1563"/>
      <c r="N472" s="2448">
        <f>N473</f>
        <v>9748.8388100000011</v>
      </c>
      <c r="O472" s="1947"/>
      <c r="P472" s="1941"/>
      <c r="Q472" s="2040"/>
      <c r="R472" s="2041"/>
      <c r="V472" s="2448">
        <f>V473</f>
        <v>901</v>
      </c>
      <c r="W472" s="2522">
        <f>W473</f>
        <v>1000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13" x14ac:dyDescent="0.25">
      <c r="A473" s="1505"/>
      <c r="B473" s="724" t="s">
        <v>1021</v>
      </c>
      <c r="C473" s="9"/>
      <c r="D473" s="9"/>
      <c r="E473" s="9"/>
      <c r="F473" s="2038" t="s">
        <v>1337</v>
      </c>
      <c r="G473" s="2054"/>
      <c r="H473" s="2054"/>
      <c r="I473" s="2054"/>
      <c r="J473" s="1087"/>
      <c r="K473" s="1064"/>
      <c r="L473" s="1064"/>
      <c r="M473" s="1563"/>
      <c r="N473" s="2448">
        <f t="shared" si="168"/>
        <v>9748.8388100000011</v>
      </c>
      <c r="O473" s="1947"/>
      <c r="P473" s="1941"/>
      <c r="Q473" s="2040">
        <f t="shared" ref="Q473:R475" si="182">Q474</f>
        <v>1265</v>
      </c>
      <c r="R473" s="2041">
        <f t="shared" si="182"/>
        <v>1391.5</v>
      </c>
      <c r="V473" s="2448">
        <f t="shared" si="169"/>
        <v>901</v>
      </c>
      <c r="W473" s="2522">
        <f t="shared" si="169"/>
        <v>1000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26" x14ac:dyDescent="0.25">
      <c r="A474" s="1505"/>
      <c r="B474" s="724" t="s">
        <v>948</v>
      </c>
      <c r="C474" s="9"/>
      <c r="D474" s="9"/>
      <c r="E474" s="9"/>
      <c r="F474" s="2038" t="s">
        <v>1337</v>
      </c>
      <c r="G474" s="2038" t="s">
        <v>955</v>
      </c>
      <c r="H474" s="2038"/>
      <c r="I474" s="2038"/>
      <c r="J474" s="1087"/>
      <c r="K474" s="1064"/>
      <c r="L474" s="1064"/>
      <c r="M474" s="1563"/>
      <c r="N474" s="2448">
        <f t="shared" si="168"/>
        <v>9748.8388100000011</v>
      </c>
      <c r="O474" s="1947"/>
      <c r="P474" s="1941"/>
      <c r="Q474" s="2040">
        <f t="shared" si="182"/>
        <v>1265</v>
      </c>
      <c r="R474" s="2041">
        <f t="shared" si="182"/>
        <v>1391.5</v>
      </c>
      <c r="V474" s="2448">
        <f t="shared" si="169"/>
        <v>901</v>
      </c>
      <c r="W474" s="2522">
        <f t="shared" si="169"/>
        <v>1000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26" x14ac:dyDescent="0.25">
      <c r="A475" s="1505"/>
      <c r="B475" s="1544" t="s">
        <v>454</v>
      </c>
      <c r="C475" s="9"/>
      <c r="D475" s="9"/>
      <c r="E475" s="9"/>
      <c r="F475" s="2038" t="s">
        <v>1337</v>
      </c>
      <c r="G475" s="532" t="s">
        <v>1</v>
      </c>
      <c r="H475" s="2038"/>
      <c r="I475" s="2038"/>
      <c r="J475" s="1087"/>
      <c r="K475" s="1064"/>
      <c r="L475" s="1064"/>
      <c r="M475" s="1563"/>
      <c r="N475" s="2448">
        <f t="shared" si="168"/>
        <v>9748.8388100000011</v>
      </c>
      <c r="O475" s="1947"/>
      <c r="P475" s="1941"/>
      <c r="Q475" s="2040">
        <f t="shared" si="182"/>
        <v>1265</v>
      </c>
      <c r="R475" s="2041">
        <f t="shared" si="182"/>
        <v>1391.5</v>
      </c>
      <c r="V475" s="2448">
        <f t="shared" si="169"/>
        <v>901</v>
      </c>
      <c r="W475" s="2522">
        <f t="shared" si="169"/>
        <v>1000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ht="13" x14ac:dyDescent="0.25">
      <c r="A476" s="1505"/>
      <c r="B476" s="534" t="s">
        <v>34</v>
      </c>
      <c r="C476" s="9"/>
      <c r="D476" s="9"/>
      <c r="E476" s="9"/>
      <c r="F476" s="2038" t="s">
        <v>1337</v>
      </c>
      <c r="G476" s="532" t="s">
        <v>1</v>
      </c>
      <c r="H476" s="2038" t="s">
        <v>463</v>
      </c>
      <c r="I476" s="2038" t="s">
        <v>495</v>
      </c>
      <c r="J476" s="1087"/>
      <c r="K476" s="1064"/>
      <c r="L476" s="1064"/>
      <c r="M476" s="1563"/>
      <c r="N476" s="2448">
        <f>1074.8839-100+2755.02184+6018.93307</f>
        <v>9748.8388100000011</v>
      </c>
      <c r="O476" s="1947"/>
      <c r="P476" s="1941"/>
      <c r="Q476" s="2040">
        <f>385+880</f>
        <v>1265</v>
      </c>
      <c r="R476" s="2041">
        <f>423.5+968</f>
        <v>1391.5</v>
      </c>
      <c r="V476" s="2448">
        <v>901</v>
      </c>
      <c r="W476" s="2522">
        <v>1000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13" x14ac:dyDescent="0.25">
      <c r="A477" s="1505"/>
      <c r="B477" s="2984" t="s">
        <v>1263</v>
      </c>
      <c r="C477" s="9"/>
      <c r="D477" s="9"/>
      <c r="E477" s="9"/>
      <c r="F477" s="532" t="s">
        <v>1362</v>
      </c>
      <c r="G477" s="532"/>
      <c r="H477" s="2038"/>
      <c r="I477" s="2038"/>
      <c r="J477" s="1087"/>
      <c r="K477" s="1064"/>
      <c r="L477" s="1064"/>
      <c r="M477" s="1563"/>
      <c r="N477" s="2448">
        <f>N478</f>
        <v>100</v>
      </c>
      <c r="O477" s="1947"/>
      <c r="P477" s="1941"/>
      <c r="Q477" s="2040"/>
      <c r="R477" s="2041"/>
      <c r="V477" s="2448">
        <f t="shared" ref="V477:W481" si="183">V478</f>
        <v>0</v>
      </c>
      <c r="W477" s="2522">
        <f t="shared" si="183"/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13" x14ac:dyDescent="0.25">
      <c r="A478" s="1505"/>
      <c r="B478" s="1182" t="s">
        <v>1365</v>
      </c>
      <c r="C478" s="9"/>
      <c r="D478" s="9"/>
      <c r="E478" s="9"/>
      <c r="F478" s="532" t="s">
        <v>1363</v>
      </c>
      <c r="G478" s="532"/>
      <c r="H478" s="2038"/>
      <c r="I478" s="2038"/>
      <c r="J478" s="1087"/>
      <c r="K478" s="1064"/>
      <c r="L478" s="1064"/>
      <c r="M478" s="1563"/>
      <c r="N478" s="2448">
        <f>N479</f>
        <v>100</v>
      </c>
      <c r="O478" s="1947"/>
      <c r="P478" s="1941"/>
      <c r="Q478" s="2040"/>
      <c r="R478" s="2041"/>
      <c r="V478" s="2448">
        <f t="shared" si="183"/>
        <v>0</v>
      </c>
      <c r="W478" s="2522">
        <f t="shared" si="183"/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13" x14ac:dyDescent="0.25">
      <c r="A479" s="1505"/>
      <c r="B479" s="1182" t="s">
        <v>1366</v>
      </c>
      <c r="C479" s="9"/>
      <c r="D479" s="9"/>
      <c r="E479" s="9"/>
      <c r="F479" s="532" t="s">
        <v>1364</v>
      </c>
      <c r="G479" s="532"/>
      <c r="H479" s="2038"/>
      <c r="I479" s="2038"/>
      <c r="J479" s="1087"/>
      <c r="K479" s="1064"/>
      <c r="L479" s="1064"/>
      <c r="M479" s="1563"/>
      <c r="N479" s="2448">
        <f>N480</f>
        <v>100</v>
      </c>
      <c r="O479" s="1947"/>
      <c r="P479" s="1941"/>
      <c r="Q479" s="2040"/>
      <c r="R479" s="2041"/>
      <c r="V479" s="2448">
        <f t="shared" si="183"/>
        <v>0</v>
      </c>
      <c r="W479" s="2522">
        <f t="shared" si="183"/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13" x14ac:dyDescent="0.25">
      <c r="A480" s="1505"/>
      <c r="B480" s="753" t="s">
        <v>948</v>
      </c>
      <c r="C480" s="9"/>
      <c r="D480" s="9"/>
      <c r="E480" s="9"/>
      <c r="F480" s="532" t="s">
        <v>1364</v>
      </c>
      <c r="G480" s="532" t="s">
        <v>955</v>
      </c>
      <c r="H480" s="2038"/>
      <c r="I480" s="2038"/>
      <c r="J480" s="1087"/>
      <c r="K480" s="1064"/>
      <c r="L480" s="1064"/>
      <c r="M480" s="1563"/>
      <c r="N480" s="2448">
        <f>N481</f>
        <v>100</v>
      </c>
      <c r="O480" s="1947"/>
      <c r="P480" s="1941"/>
      <c r="Q480" s="2040"/>
      <c r="R480" s="2041"/>
      <c r="V480" s="2448">
        <f t="shared" si="183"/>
        <v>0</v>
      </c>
      <c r="W480" s="2522">
        <f t="shared" si="183"/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13" x14ac:dyDescent="0.25">
      <c r="A481" s="1505"/>
      <c r="B481" s="1182" t="s">
        <v>454</v>
      </c>
      <c r="C481" s="9"/>
      <c r="D481" s="9"/>
      <c r="E481" s="9"/>
      <c r="F481" s="532" t="s">
        <v>1364</v>
      </c>
      <c r="G481" s="532" t="s">
        <v>1</v>
      </c>
      <c r="H481" s="2038"/>
      <c r="I481" s="2038"/>
      <c r="J481" s="1087"/>
      <c r="K481" s="1064"/>
      <c r="L481" s="1064"/>
      <c r="M481" s="1563"/>
      <c r="N481" s="2448">
        <f>N482</f>
        <v>100</v>
      </c>
      <c r="O481" s="1947"/>
      <c r="P481" s="1941"/>
      <c r="Q481" s="2040"/>
      <c r="R481" s="2041"/>
      <c r="V481" s="2448">
        <f t="shared" si="183"/>
        <v>0</v>
      </c>
      <c r="W481" s="2522">
        <f t="shared" si="183"/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13" x14ac:dyDescent="0.25">
      <c r="A482" s="1505"/>
      <c r="B482" s="534" t="s">
        <v>34</v>
      </c>
      <c r="C482" s="9"/>
      <c r="D482" s="9"/>
      <c r="E482" s="9"/>
      <c r="F482" s="532" t="s">
        <v>1364</v>
      </c>
      <c r="G482" s="532" t="s">
        <v>1</v>
      </c>
      <c r="H482" s="2038" t="s">
        <v>463</v>
      </c>
      <c r="I482" s="2038" t="s">
        <v>495</v>
      </c>
      <c r="J482" s="1087"/>
      <c r="K482" s="1064"/>
      <c r="L482" s="1064"/>
      <c r="M482" s="1563"/>
      <c r="N482" s="2448">
        <v>100</v>
      </c>
      <c r="O482" s="1947"/>
      <c r="P482" s="1941"/>
      <c r="Q482" s="2040"/>
      <c r="R482" s="2041"/>
      <c r="V482" s="2448">
        <v>0</v>
      </c>
      <c r="W482" s="2522">
        <v>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ht="13" x14ac:dyDescent="0.25">
      <c r="A483" s="1504"/>
      <c r="B483" s="2009" t="s">
        <v>1297</v>
      </c>
      <c r="C483" s="9"/>
      <c r="D483" s="9"/>
      <c r="E483" s="9"/>
      <c r="F483" s="532" t="s">
        <v>1335</v>
      </c>
      <c r="G483" s="1511"/>
      <c r="H483" s="1511"/>
      <c r="I483" s="1511"/>
      <c r="J483" s="1087"/>
      <c r="K483" s="1064"/>
      <c r="L483" s="1064"/>
      <c r="M483" s="1563"/>
      <c r="N483" s="2448">
        <f t="shared" ref="N483:N488" si="184">N484</f>
        <v>0</v>
      </c>
      <c r="O483" s="1994"/>
      <c r="P483" s="1939"/>
      <c r="Q483" s="2036"/>
      <c r="R483" s="2037"/>
      <c r="V483" s="2448">
        <f t="shared" ref="V483:W486" si="185">V484</f>
        <v>0</v>
      </c>
      <c r="W483" s="2522">
        <f t="shared" si="185"/>
        <v>1000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26" x14ac:dyDescent="0.25">
      <c r="A484" s="1504"/>
      <c r="B484" s="2009" t="s">
        <v>1336</v>
      </c>
      <c r="C484" s="9"/>
      <c r="D484" s="9"/>
      <c r="E484" s="9"/>
      <c r="F484" s="532" t="s">
        <v>1334</v>
      </c>
      <c r="G484" s="1511"/>
      <c r="H484" s="1511"/>
      <c r="I484" s="1511"/>
      <c r="J484" s="1087"/>
      <c r="K484" s="1064"/>
      <c r="L484" s="1064"/>
      <c r="M484" s="1563"/>
      <c r="N484" s="2448">
        <f t="shared" si="184"/>
        <v>0</v>
      </c>
      <c r="O484" s="1994"/>
      <c r="P484" s="1939"/>
      <c r="Q484" s="2036"/>
      <c r="R484" s="2037"/>
      <c r="V484" s="2448">
        <f t="shared" si="185"/>
        <v>0</v>
      </c>
      <c r="W484" s="2522">
        <f t="shared" si="185"/>
        <v>1000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38.15" customHeight="1" x14ac:dyDescent="0.25">
      <c r="A485" s="1505"/>
      <c r="B485" s="1873" t="s">
        <v>1129</v>
      </c>
      <c r="C485" s="9"/>
      <c r="D485" s="9"/>
      <c r="E485" s="9"/>
      <c r="F485" s="532" t="s">
        <v>1334</v>
      </c>
      <c r="G485" s="1513"/>
      <c r="H485" s="1513"/>
      <c r="I485" s="1513"/>
      <c r="J485" s="1087"/>
      <c r="K485" s="1064"/>
      <c r="L485" s="1064"/>
      <c r="M485" s="1563"/>
      <c r="N485" s="2448">
        <f t="shared" si="184"/>
        <v>0</v>
      </c>
      <c r="O485" s="1947"/>
      <c r="P485" s="1941"/>
      <c r="Q485" s="2040">
        <f t="shared" ref="Q485:R488" si="186">Q486</f>
        <v>0</v>
      </c>
      <c r="R485" s="2041">
        <f t="shared" si="186"/>
        <v>0</v>
      </c>
      <c r="V485" s="2448">
        <f t="shared" si="185"/>
        <v>0</v>
      </c>
      <c r="W485" s="2522">
        <f t="shared" si="185"/>
        <v>1000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23" x14ac:dyDescent="0.25">
      <c r="A486" s="1505"/>
      <c r="B486" s="2053" t="s">
        <v>1333</v>
      </c>
      <c r="C486" s="9"/>
      <c r="D486" s="9"/>
      <c r="E486" s="9"/>
      <c r="F486" s="532" t="s">
        <v>1332</v>
      </c>
      <c r="G486" s="2054"/>
      <c r="H486" s="2054"/>
      <c r="I486" s="2054"/>
      <c r="J486" s="1087"/>
      <c r="K486" s="1064"/>
      <c r="L486" s="1064"/>
      <c r="M486" s="1563"/>
      <c r="N486" s="2448">
        <f t="shared" si="184"/>
        <v>0</v>
      </c>
      <c r="O486" s="1947"/>
      <c r="P486" s="1941"/>
      <c r="Q486" s="2040">
        <f t="shared" si="186"/>
        <v>0</v>
      </c>
      <c r="R486" s="2041">
        <f t="shared" si="186"/>
        <v>0</v>
      </c>
      <c r="V486" s="2448">
        <f t="shared" si="185"/>
        <v>0</v>
      </c>
      <c r="W486" s="2522">
        <f t="shared" si="185"/>
        <v>1000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3" x14ac:dyDescent="0.25">
      <c r="A487" s="1505"/>
      <c r="B487" s="1515" t="s">
        <v>948</v>
      </c>
      <c r="C487" s="9"/>
      <c r="D487" s="9"/>
      <c r="E487" s="9"/>
      <c r="F487" s="532" t="s">
        <v>1332</v>
      </c>
      <c r="G487" s="2054" t="s">
        <v>955</v>
      </c>
      <c r="H487" s="2054"/>
      <c r="I487" s="2054"/>
      <c r="J487" s="1087"/>
      <c r="K487" s="1064"/>
      <c r="L487" s="1064"/>
      <c r="M487" s="1563"/>
      <c r="N487" s="2448">
        <f t="shared" si="184"/>
        <v>0</v>
      </c>
      <c r="O487" s="1947"/>
      <c r="P487" s="1941"/>
      <c r="Q487" s="2040">
        <f t="shared" si="186"/>
        <v>0</v>
      </c>
      <c r="R487" s="2041">
        <f t="shared" si="186"/>
        <v>0</v>
      </c>
      <c r="V487" s="2448">
        <v>0</v>
      </c>
      <c r="W487" s="2522">
        <f>W488</f>
        <v>1000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ht="23" x14ac:dyDescent="0.25">
      <c r="A488" s="1505"/>
      <c r="B488" s="1516" t="s">
        <v>454</v>
      </c>
      <c r="C488" s="9"/>
      <c r="D488" s="9"/>
      <c r="E488" s="9"/>
      <c r="F488" s="532" t="s">
        <v>1332</v>
      </c>
      <c r="G488" s="1517" t="s">
        <v>1</v>
      </c>
      <c r="H488" s="2054"/>
      <c r="I488" s="2054"/>
      <c r="J488" s="1087"/>
      <c r="K488" s="1064"/>
      <c r="L488" s="1064"/>
      <c r="M488" s="1563"/>
      <c r="N488" s="2448">
        <f t="shared" si="184"/>
        <v>0</v>
      </c>
      <c r="O488" s="1947"/>
      <c r="P488" s="1941"/>
      <c r="Q488" s="2040">
        <f t="shared" si="186"/>
        <v>0</v>
      </c>
      <c r="R488" s="2041">
        <f t="shared" si="186"/>
        <v>0</v>
      </c>
      <c r="V488" s="2448">
        <f>V489</f>
        <v>0</v>
      </c>
      <c r="W488" s="2522">
        <f>W489</f>
        <v>1000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ht="19.5" customHeight="1" x14ac:dyDescent="0.25">
      <c r="A489" s="1505"/>
      <c r="B489" s="1516" t="s">
        <v>34</v>
      </c>
      <c r="C489" s="9"/>
      <c r="D489" s="9"/>
      <c r="E489" s="9"/>
      <c r="F489" s="532" t="s">
        <v>1332</v>
      </c>
      <c r="G489" s="1517" t="s">
        <v>1</v>
      </c>
      <c r="H489" s="2054" t="s">
        <v>463</v>
      </c>
      <c r="I489" s="2054" t="s">
        <v>495</v>
      </c>
      <c r="J489" s="1087"/>
      <c r="K489" s="1064"/>
      <c r="L489" s="1064"/>
      <c r="M489" s="1563"/>
      <c r="N489" s="2448">
        <v>0</v>
      </c>
      <c r="O489" s="1947"/>
      <c r="P489" s="1941"/>
      <c r="Q489" s="2040"/>
      <c r="R489" s="2041"/>
      <c r="V489" s="2448">
        <v>0</v>
      </c>
      <c r="W489" s="2522">
        <v>1000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ht="13" hidden="1" x14ac:dyDescent="0.25">
      <c r="A490" s="1505"/>
      <c r="B490" s="2009" t="s">
        <v>1340</v>
      </c>
      <c r="C490" s="9"/>
      <c r="D490" s="9"/>
      <c r="E490" s="9"/>
      <c r="F490" s="532" t="s">
        <v>1339</v>
      </c>
      <c r="G490" s="1513"/>
      <c r="H490" s="1513"/>
      <c r="I490" s="1513"/>
      <c r="J490" s="1087"/>
      <c r="K490" s="1064"/>
      <c r="L490" s="1064"/>
      <c r="M490" s="1563"/>
      <c r="N490" s="2448">
        <f>N492</f>
        <v>1074.8839</v>
      </c>
      <c r="O490" s="1947"/>
      <c r="P490" s="1941"/>
      <c r="Q490" s="2040">
        <f>Q492</f>
        <v>1265</v>
      </c>
      <c r="R490" s="2041">
        <f>R492</f>
        <v>1391.5</v>
      </c>
      <c r="V490" s="2448">
        <f>V492</f>
        <v>901</v>
      </c>
      <c r="W490" s="2522">
        <f>W492</f>
        <v>1000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13" hidden="1" x14ac:dyDescent="0.25">
      <c r="A491" s="1505"/>
      <c r="B491" s="2009" t="s">
        <v>1019</v>
      </c>
      <c r="C491" s="9"/>
      <c r="D491" s="9"/>
      <c r="E491" s="9"/>
      <c r="F491" s="532" t="s">
        <v>1338</v>
      </c>
      <c r="G491" s="1513"/>
      <c r="H491" s="1513"/>
      <c r="I491" s="1513"/>
      <c r="J491" s="1087"/>
      <c r="K491" s="1064"/>
      <c r="L491" s="1064"/>
      <c r="M491" s="1563"/>
      <c r="N491" s="2448">
        <f>N492</f>
        <v>1074.8839</v>
      </c>
      <c r="O491" s="1947"/>
      <c r="P491" s="1941"/>
      <c r="Q491" s="2040"/>
      <c r="R491" s="2041"/>
      <c r="V491" s="2448">
        <f>V492</f>
        <v>901</v>
      </c>
      <c r="W491" s="2522">
        <f>W492</f>
        <v>1000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t="55.15" hidden="1" customHeight="1" x14ac:dyDescent="0.25">
      <c r="A492" s="1505"/>
      <c r="B492" s="724" t="s">
        <v>1021</v>
      </c>
      <c r="C492" s="9"/>
      <c r="D492" s="9"/>
      <c r="E492" s="9"/>
      <c r="F492" s="2038" t="s">
        <v>1337</v>
      </c>
      <c r="G492" s="2054"/>
      <c r="H492" s="2054"/>
      <c r="I492" s="2054"/>
      <c r="J492" s="1087"/>
      <c r="K492" s="1064"/>
      <c r="L492" s="1064"/>
      <c r="M492" s="1563"/>
      <c r="N492" s="2448">
        <f t="shared" si="168"/>
        <v>1074.8839</v>
      </c>
      <c r="O492" s="1947"/>
      <c r="P492" s="1941"/>
      <c r="Q492" s="2040">
        <f t="shared" ref="Q492:R494" si="187">Q493</f>
        <v>1265</v>
      </c>
      <c r="R492" s="2041">
        <f t="shared" si="187"/>
        <v>1391.5</v>
      </c>
      <c r="V492" s="2448">
        <f t="shared" si="169"/>
        <v>901</v>
      </c>
      <c r="W492" s="2522">
        <f t="shared" si="169"/>
        <v>1000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26" hidden="1" x14ac:dyDescent="0.25">
      <c r="A493" s="1505"/>
      <c r="B493" s="724" t="s">
        <v>948</v>
      </c>
      <c r="C493" s="9"/>
      <c r="D493" s="9"/>
      <c r="E493" s="9"/>
      <c r="F493" s="2038" t="s">
        <v>1337</v>
      </c>
      <c r="G493" s="2038" t="s">
        <v>955</v>
      </c>
      <c r="H493" s="2038"/>
      <c r="I493" s="2038"/>
      <c r="J493" s="1087"/>
      <c r="K493" s="1064"/>
      <c r="L493" s="1064"/>
      <c r="M493" s="1563"/>
      <c r="N493" s="2448">
        <f t="shared" si="168"/>
        <v>1074.8839</v>
      </c>
      <c r="O493" s="1947"/>
      <c r="P493" s="1941"/>
      <c r="Q493" s="2040">
        <f t="shared" si="187"/>
        <v>1265</v>
      </c>
      <c r="R493" s="2041">
        <f t="shared" si="187"/>
        <v>1391.5</v>
      </c>
      <c r="V493" s="2448">
        <f t="shared" si="169"/>
        <v>901</v>
      </c>
      <c r="W493" s="2522">
        <f t="shared" si="169"/>
        <v>1000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6" hidden="1" x14ac:dyDescent="0.25">
      <c r="A494" s="1505"/>
      <c r="B494" s="1544" t="s">
        <v>454</v>
      </c>
      <c r="C494" s="9"/>
      <c r="D494" s="9"/>
      <c r="E494" s="9"/>
      <c r="F494" s="2038" t="s">
        <v>1337</v>
      </c>
      <c r="G494" s="532" t="s">
        <v>1</v>
      </c>
      <c r="H494" s="2038"/>
      <c r="I494" s="2038"/>
      <c r="J494" s="1087"/>
      <c r="K494" s="1064"/>
      <c r="L494" s="1064"/>
      <c r="M494" s="1563"/>
      <c r="N494" s="2448">
        <f t="shared" si="168"/>
        <v>1074.8839</v>
      </c>
      <c r="O494" s="1947"/>
      <c r="P494" s="1941"/>
      <c r="Q494" s="2040">
        <f t="shared" si="187"/>
        <v>1265</v>
      </c>
      <c r="R494" s="2041">
        <f t="shared" si="187"/>
        <v>1391.5</v>
      </c>
      <c r="V494" s="2448">
        <f t="shared" si="169"/>
        <v>901</v>
      </c>
      <c r="W494" s="2522">
        <f t="shared" si="169"/>
        <v>1000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12.65" hidden="1" customHeight="1" x14ac:dyDescent="0.25">
      <c r="A495" s="1505"/>
      <c r="B495" s="534" t="s">
        <v>34</v>
      </c>
      <c r="C495" s="9"/>
      <c r="D495" s="9"/>
      <c r="E495" s="9"/>
      <c r="F495" s="2038" t="s">
        <v>1337</v>
      </c>
      <c r="G495" s="532" t="s">
        <v>1</v>
      </c>
      <c r="H495" s="2038" t="s">
        <v>463</v>
      </c>
      <c r="I495" s="2038" t="s">
        <v>495</v>
      </c>
      <c r="J495" s="1087"/>
      <c r="K495" s="1064"/>
      <c r="L495" s="1064"/>
      <c r="M495" s="1563"/>
      <c r="N495" s="2448">
        <v>1074.8839</v>
      </c>
      <c r="O495" s="1947"/>
      <c r="P495" s="1941"/>
      <c r="Q495" s="2040">
        <f>385+880</f>
        <v>1265</v>
      </c>
      <c r="R495" s="2041">
        <f>423.5+968</f>
        <v>1391.5</v>
      </c>
      <c r="V495" s="2448">
        <v>901</v>
      </c>
      <c r="W495" s="2522">
        <v>1000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44.25" hidden="1" customHeight="1" x14ac:dyDescent="0.3">
      <c r="A496" s="32"/>
      <c r="B496" s="2055"/>
      <c r="C496" s="142"/>
      <c r="D496" s="142"/>
      <c r="E496" s="142"/>
      <c r="F496" s="142"/>
      <c r="G496" s="142"/>
      <c r="H496" s="142"/>
      <c r="I496" s="142"/>
      <c r="J496" s="1061"/>
      <c r="K496" s="1064"/>
      <c r="L496" s="1064"/>
      <c r="M496" s="1563"/>
      <c r="N496" s="2448"/>
      <c r="O496" s="1947"/>
      <c r="P496" s="1941"/>
      <c r="Q496" s="1987"/>
      <c r="R496" s="1988"/>
      <c r="V496" s="2448"/>
      <c r="W496" s="2522"/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ht="13" hidden="1" x14ac:dyDescent="0.3">
      <c r="A497" s="32"/>
      <c r="B497" s="2056"/>
      <c r="C497" s="9"/>
      <c r="D497" s="9"/>
      <c r="E497" s="9"/>
      <c r="F497" s="9"/>
      <c r="G497" s="9"/>
      <c r="H497" s="9"/>
      <c r="I497" s="9"/>
      <c r="J497" s="1061"/>
      <c r="K497" s="1064"/>
      <c r="L497" s="1064"/>
      <c r="M497" s="1563"/>
      <c r="N497" s="2448"/>
      <c r="O497" s="1947"/>
      <c r="P497" s="1941"/>
      <c r="Q497" s="1987"/>
      <c r="R497" s="1988"/>
      <c r="V497" s="2448"/>
      <c r="W497" s="2522"/>
    </row>
    <row r="498" spans="1:256" ht="42.75" hidden="1" customHeight="1" x14ac:dyDescent="0.3">
      <c r="A498" s="32"/>
      <c r="B498" s="2056"/>
      <c r="C498" s="9"/>
      <c r="D498" s="9"/>
      <c r="E498" s="9"/>
      <c r="F498" s="9"/>
      <c r="G498" s="9"/>
      <c r="H498" s="9"/>
      <c r="I498" s="9"/>
      <c r="J498" s="1061"/>
      <c r="K498" s="1064"/>
      <c r="L498" s="1064"/>
      <c r="M498" s="1563"/>
      <c r="N498" s="2448"/>
      <c r="O498" s="1947"/>
      <c r="P498" s="1941"/>
      <c r="Q498" s="1987"/>
      <c r="R498" s="1988"/>
      <c r="V498" s="2448"/>
      <c r="W498" s="2522"/>
    </row>
    <row r="499" spans="1:256" ht="72.75" hidden="1" customHeight="1" x14ac:dyDescent="0.25">
      <c r="A499" s="91">
        <v>9</v>
      </c>
      <c r="B499" s="134" t="s">
        <v>176</v>
      </c>
      <c r="C499" s="34"/>
      <c r="D499" s="94" t="s">
        <v>15</v>
      </c>
      <c r="E499" s="34" t="s">
        <v>32</v>
      </c>
      <c r="F499" s="34" t="s">
        <v>175</v>
      </c>
      <c r="G499" s="131"/>
      <c r="H499" s="131"/>
      <c r="I499" s="34"/>
      <c r="J499" s="51">
        <f>J500</f>
        <v>3000</v>
      </c>
      <c r="K499" s="51"/>
      <c r="L499" s="51">
        <f>L501</f>
        <v>6008.35</v>
      </c>
      <c r="M499" s="1553">
        <f>M501</f>
        <v>8515.7049999999999</v>
      </c>
      <c r="N499" s="2450">
        <f t="shared" ref="N499:R501" si="188">N500</f>
        <v>0</v>
      </c>
      <c r="O499" s="1958">
        <f t="shared" si="188"/>
        <v>3500</v>
      </c>
      <c r="P499" s="1944">
        <f t="shared" si="188"/>
        <v>3500</v>
      </c>
      <c r="Q499" s="1996">
        <f t="shared" si="188"/>
        <v>0</v>
      </c>
      <c r="R499" s="1997">
        <f t="shared" si="188"/>
        <v>0</v>
      </c>
      <c r="V499" s="2450">
        <f t="shared" ref="V499:W501" si="189">V500</f>
        <v>0</v>
      </c>
      <c r="W499" s="2521">
        <f t="shared" si="189"/>
        <v>0</v>
      </c>
    </row>
    <row r="500" spans="1:256" s="2" customFormat="1" ht="57" hidden="1" customHeight="1" x14ac:dyDescent="0.25">
      <c r="A500" s="91"/>
      <c r="B500" s="1098" t="s">
        <v>174</v>
      </c>
      <c r="C500" s="34"/>
      <c r="D500" s="94"/>
      <c r="E500" s="34"/>
      <c r="F500" s="9" t="s">
        <v>173</v>
      </c>
      <c r="G500" s="48"/>
      <c r="H500" s="48"/>
      <c r="I500" s="9"/>
      <c r="J500" s="47">
        <f>J501</f>
        <v>3000</v>
      </c>
      <c r="K500" s="51"/>
      <c r="L500" s="51"/>
      <c r="M500" s="1553"/>
      <c r="N500" s="2448">
        <f t="shared" si="188"/>
        <v>0</v>
      </c>
      <c r="O500" s="2027">
        <f t="shared" si="188"/>
        <v>3500</v>
      </c>
      <c r="P500" s="1950">
        <f t="shared" si="188"/>
        <v>3500</v>
      </c>
      <c r="Q500" s="2028">
        <f t="shared" si="188"/>
        <v>0</v>
      </c>
      <c r="R500" s="2029">
        <f t="shared" si="188"/>
        <v>0</v>
      </c>
      <c r="V500" s="2448">
        <f t="shared" si="189"/>
        <v>0</v>
      </c>
      <c r="W500" s="2522">
        <f t="shared" si="189"/>
        <v>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13" hidden="1" x14ac:dyDescent="0.25">
      <c r="A501" s="32"/>
      <c r="B501" s="133" t="s">
        <v>172</v>
      </c>
      <c r="C501" s="9"/>
      <c r="D501" s="88" t="s">
        <v>15</v>
      </c>
      <c r="E501" s="9" t="s">
        <v>32</v>
      </c>
      <c r="F501" s="9" t="s">
        <v>159</v>
      </c>
      <c r="G501" s="9"/>
      <c r="H501" s="9"/>
      <c r="I501" s="9"/>
      <c r="J501" s="1061">
        <f>J502</f>
        <v>3000</v>
      </c>
      <c r="K501" s="1065"/>
      <c r="L501" s="1064">
        <f>L502</f>
        <v>6008.35</v>
      </c>
      <c r="M501" s="1563">
        <f>M502</f>
        <v>8515.7049999999999</v>
      </c>
      <c r="N501" s="2448">
        <f t="shared" si="188"/>
        <v>0</v>
      </c>
      <c r="O501" s="1947">
        <f t="shared" si="188"/>
        <v>3500</v>
      </c>
      <c r="P501" s="1941">
        <f t="shared" si="188"/>
        <v>3500</v>
      </c>
      <c r="Q501" s="1987">
        <f t="shared" si="188"/>
        <v>0</v>
      </c>
      <c r="R501" s="1988">
        <f t="shared" si="188"/>
        <v>0</v>
      </c>
      <c r="V501" s="2448">
        <f t="shared" si="189"/>
        <v>0</v>
      </c>
      <c r="W501" s="2522">
        <f t="shared" si="189"/>
        <v>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13" hidden="1" x14ac:dyDescent="0.3">
      <c r="A502" s="32"/>
      <c r="B502" s="2003" t="s">
        <v>16</v>
      </c>
      <c r="C502" s="9"/>
      <c r="D502" s="88" t="s">
        <v>15</v>
      </c>
      <c r="E502" s="9" t="s">
        <v>32</v>
      </c>
      <c r="F502" s="9" t="s">
        <v>159</v>
      </c>
      <c r="G502" s="9" t="s">
        <v>1</v>
      </c>
      <c r="H502" s="9"/>
      <c r="I502" s="9"/>
      <c r="J502" s="1061">
        <f>J508</f>
        <v>3000</v>
      </c>
      <c r="K502" s="1065"/>
      <c r="L502" s="1064">
        <v>6008.35</v>
      </c>
      <c r="M502" s="1563">
        <v>8515.7049999999999</v>
      </c>
      <c r="N502" s="2448">
        <f>N508</f>
        <v>0</v>
      </c>
      <c r="O502" s="1947">
        <f>O508</f>
        <v>3500</v>
      </c>
      <c r="P502" s="1941">
        <f>P508</f>
        <v>3500</v>
      </c>
      <c r="Q502" s="1987">
        <f>Q508</f>
        <v>0</v>
      </c>
      <c r="R502" s="1988">
        <f>R508</f>
        <v>0</v>
      </c>
      <c r="V502" s="2448">
        <f>V508</f>
        <v>0</v>
      </c>
      <c r="W502" s="2522">
        <f>W508</f>
        <v>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9" hidden="1" x14ac:dyDescent="0.25">
      <c r="A503" s="32"/>
      <c r="B503" s="52" t="s">
        <v>171</v>
      </c>
      <c r="C503" s="9"/>
      <c r="D503" s="34" t="s">
        <v>168</v>
      </c>
      <c r="E503" s="34" t="s">
        <v>166</v>
      </c>
      <c r="F503" s="34" t="s">
        <v>170</v>
      </c>
      <c r="G503" s="131"/>
      <c r="H503" s="131"/>
      <c r="I503" s="34" t="s">
        <v>166</v>
      </c>
      <c r="J503" s="48"/>
      <c r="K503" s="131"/>
      <c r="M503" s="1564"/>
      <c r="N503" s="2448"/>
      <c r="O503" s="2027"/>
      <c r="P503" s="1950"/>
      <c r="Q503" s="2028"/>
      <c r="R503" s="2029"/>
      <c r="V503" s="2448"/>
      <c r="W503" s="2522"/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39" hidden="1" x14ac:dyDescent="0.25">
      <c r="A504" s="32"/>
      <c r="B504" s="49" t="s">
        <v>169</v>
      </c>
      <c r="C504" s="9"/>
      <c r="D504" s="9" t="s">
        <v>168</v>
      </c>
      <c r="E504" s="9" t="s">
        <v>166</v>
      </c>
      <c r="F504" s="9" t="s">
        <v>167</v>
      </c>
      <c r="G504" s="88"/>
      <c r="H504" s="88"/>
      <c r="I504" s="9" t="s">
        <v>166</v>
      </c>
      <c r="J504" s="1063"/>
      <c r="K504" s="1063"/>
      <c r="L504" s="1063"/>
      <c r="M504" s="1125"/>
      <c r="N504" s="2448"/>
      <c r="O504" s="1947"/>
      <c r="P504" s="1941"/>
      <c r="Q504" s="1987"/>
      <c r="R504" s="1988"/>
      <c r="V504" s="2448"/>
      <c r="W504" s="2522"/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39" hidden="1" x14ac:dyDescent="0.25">
      <c r="A505" s="32"/>
      <c r="B505" s="132" t="s">
        <v>165</v>
      </c>
      <c r="C505" s="34"/>
      <c r="D505" s="94" t="s">
        <v>15</v>
      </c>
      <c r="E505" s="34" t="s">
        <v>13</v>
      </c>
      <c r="F505" s="34" t="s">
        <v>164</v>
      </c>
      <c r="G505" s="131"/>
      <c r="H505" s="131"/>
      <c r="I505" s="34" t="s">
        <v>13</v>
      </c>
      <c r="J505" s="48"/>
      <c r="K505" s="130"/>
      <c r="M505" s="1554"/>
      <c r="N505" s="2448"/>
      <c r="O505" s="2027"/>
      <c r="P505" s="1950"/>
      <c r="Q505" s="2028"/>
      <c r="R505" s="2029"/>
      <c r="V505" s="2448"/>
      <c r="W505" s="2522"/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52" hidden="1" x14ac:dyDescent="0.25">
      <c r="A506" s="32"/>
      <c r="B506" s="49" t="s">
        <v>163</v>
      </c>
      <c r="C506" s="9"/>
      <c r="D506" s="88" t="s">
        <v>15</v>
      </c>
      <c r="E506" s="9" t="s">
        <v>13</v>
      </c>
      <c r="F506" s="9" t="s">
        <v>162</v>
      </c>
      <c r="G506" s="9"/>
      <c r="H506" s="9"/>
      <c r="I506" s="9" t="s">
        <v>13</v>
      </c>
      <c r="J506" s="1063"/>
      <c r="K506" s="1065"/>
      <c r="L506" s="1065"/>
      <c r="M506" s="1552"/>
      <c r="N506" s="2448"/>
      <c r="O506" s="1947"/>
      <c r="P506" s="1941"/>
      <c r="Q506" s="1987"/>
      <c r="R506" s="1988"/>
      <c r="V506" s="2448"/>
      <c r="W506" s="2522"/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28.5" hidden="1" customHeight="1" x14ac:dyDescent="0.25">
      <c r="A507" s="32"/>
      <c r="B507" s="58" t="s">
        <v>161</v>
      </c>
      <c r="C507" s="34"/>
      <c r="D507" s="88" t="s">
        <v>15</v>
      </c>
      <c r="E507" s="9" t="s">
        <v>13</v>
      </c>
      <c r="F507" s="9" t="s">
        <v>160</v>
      </c>
      <c r="G507" s="9"/>
      <c r="H507" s="9"/>
      <c r="I507" s="9" t="s">
        <v>13</v>
      </c>
      <c r="J507" s="1063"/>
      <c r="K507" s="1065"/>
      <c r="L507" s="1065"/>
      <c r="M507" s="1552"/>
      <c r="N507" s="2448"/>
      <c r="O507" s="1947"/>
      <c r="P507" s="1941"/>
      <c r="Q507" s="1987"/>
      <c r="R507" s="1988"/>
      <c r="V507" s="2448"/>
      <c r="W507" s="2522"/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0.75" customHeight="1" x14ac:dyDescent="0.3">
      <c r="A508" s="32"/>
      <c r="B508" s="744" t="s">
        <v>34</v>
      </c>
      <c r="C508" s="9"/>
      <c r="D508" s="88" t="s">
        <v>15</v>
      </c>
      <c r="E508" s="9" t="s">
        <v>32</v>
      </c>
      <c r="F508" s="9" t="s">
        <v>159</v>
      </c>
      <c r="G508" s="9" t="s">
        <v>1</v>
      </c>
      <c r="H508" s="9" t="s">
        <v>463</v>
      </c>
      <c r="I508" s="9" t="s">
        <v>495</v>
      </c>
      <c r="J508" s="1061">
        <v>3000</v>
      </c>
      <c r="K508" s="1065"/>
      <c r="L508" s="1064">
        <v>6008.35</v>
      </c>
      <c r="M508" s="1563">
        <v>8515.7049999999999</v>
      </c>
      <c r="N508" s="2448"/>
      <c r="O508" s="1947">
        <v>3500</v>
      </c>
      <c r="P508" s="1941">
        <v>3500</v>
      </c>
      <c r="Q508" s="1987"/>
      <c r="R508" s="1988"/>
      <c r="V508" s="2448"/>
      <c r="W508" s="2522"/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52" x14ac:dyDescent="0.25">
      <c r="A509" s="1504">
        <v>13</v>
      </c>
      <c r="B509" s="2162" t="s">
        <v>1067</v>
      </c>
      <c r="C509" s="1508"/>
      <c r="D509" s="1508"/>
      <c r="E509" s="1508"/>
      <c r="F509" s="2048" t="s">
        <v>1014</v>
      </c>
      <c r="G509" s="2046"/>
      <c r="H509" s="2046"/>
      <c r="I509" s="1508"/>
      <c r="J509" s="1087"/>
      <c r="K509" s="1064"/>
      <c r="L509" s="1064"/>
      <c r="M509" s="1563"/>
      <c r="N509" s="2450">
        <f>N511+N515</f>
        <v>478.44499999999999</v>
      </c>
      <c r="O509" s="1947"/>
      <c r="P509" s="1941"/>
      <c r="Q509" s="2057"/>
      <c r="R509" s="1988"/>
      <c r="V509" s="2450">
        <f>V511</f>
        <v>190</v>
      </c>
      <c r="W509" s="2521">
        <f>W511</f>
        <v>150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13" x14ac:dyDescent="0.25">
      <c r="A510" s="1504"/>
      <c r="B510" s="2269" t="s">
        <v>1263</v>
      </c>
      <c r="C510" s="1508"/>
      <c r="D510" s="1508"/>
      <c r="E510" s="1508"/>
      <c r="F510" s="2045" t="s">
        <v>1343</v>
      </c>
      <c r="G510" s="2046"/>
      <c r="H510" s="2046"/>
      <c r="I510" s="1508"/>
      <c r="J510" s="1087"/>
      <c r="K510" s="1064"/>
      <c r="L510" s="1064"/>
      <c r="M510" s="1563"/>
      <c r="N510" s="2450">
        <f>N511</f>
        <v>458.44499999999999</v>
      </c>
      <c r="O510" s="1947"/>
      <c r="P510" s="1941"/>
      <c r="Q510" s="2057"/>
      <c r="R510" s="1988"/>
      <c r="V510" s="2450">
        <f>V511</f>
        <v>190</v>
      </c>
      <c r="W510" s="2521">
        <f>W511</f>
        <v>150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26" x14ac:dyDescent="0.25">
      <c r="A511" s="1505"/>
      <c r="B511" s="2067" t="s">
        <v>1318</v>
      </c>
      <c r="C511" s="1508"/>
      <c r="D511" s="1508"/>
      <c r="E511" s="1508"/>
      <c r="F511" s="2045" t="s">
        <v>1342</v>
      </c>
      <c r="G511" s="2046"/>
      <c r="H511" s="2046"/>
      <c r="I511" s="1508"/>
      <c r="J511" s="1087"/>
      <c r="K511" s="1064"/>
      <c r="L511" s="1064"/>
      <c r="M511" s="1563"/>
      <c r="N511" s="2448">
        <f>N516</f>
        <v>458.44499999999999</v>
      </c>
      <c r="O511" s="1947"/>
      <c r="P511" s="1941"/>
      <c r="Q511" s="2057"/>
      <c r="R511" s="1988"/>
      <c r="V511" s="2448">
        <f>V516</f>
        <v>190</v>
      </c>
      <c r="W511" s="2522">
        <f>W516</f>
        <v>150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13" x14ac:dyDescent="0.25">
      <c r="A512" s="1505"/>
      <c r="B512" s="2067" t="s">
        <v>1368</v>
      </c>
      <c r="C512" s="1508"/>
      <c r="D512" s="1508"/>
      <c r="E512" s="1508"/>
      <c r="F512" s="532" t="s">
        <v>1367</v>
      </c>
      <c r="G512" s="2046"/>
      <c r="H512" s="2046"/>
      <c r="I512" s="1508"/>
      <c r="J512" s="1087"/>
      <c r="K512" s="1064"/>
      <c r="L512" s="1064"/>
      <c r="M512" s="1563"/>
      <c r="N512" s="2448">
        <f>N513</f>
        <v>20</v>
      </c>
      <c r="O512" s="1947"/>
      <c r="P512" s="1941"/>
      <c r="Q512" s="2057"/>
      <c r="R512" s="1988"/>
      <c r="V512" s="2448">
        <f t="shared" ref="V512:W514" si="190">V513</f>
        <v>0</v>
      </c>
      <c r="W512" s="2522">
        <f t="shared" si="190"/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23" x14ac:dyDescent="0.25">
      <c r="A513" s="1505"/>
      <c r="B513" s="1515" t="s">
        <v>948</v>
      </c>
      <c r="C513" s="1508"/>
      <c r="D513" s="1508"/>
      <c r="E513" s="1508"/>
      <c r="F513" s="532" t="s">
        <v>1367</v>
      </c>
      <c r="G513" s="2054" t="s">
        <v>955</v>
      </c>
      <c r="H513" s="2054"/>
      <c r="I513" s="2054"/>
      <c r="J513" s="1087"/>
      <c r="K513" s="1064"/>
      <c r="L513" s="1064"/>
      <c r="M513" s="1563"/>
      <c r="N513" s="2448">
        <f>N514</f>
        <v>20</v>
      </c>
      <c r="O513" s="1947"/>
      <c r="P513" s="1941"/>
      <c r="Q513" s="2057"/>
      <c r="R513" s="1988"/>
      <c r="V513" s="2448">
        <f t="shared" si="190"/>
        <v>0</v>
      </c>
      <c r="W513" s="2522">
        <f t="shared" si="190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23" x14ac:dyDescent="0.25">
      <c r="A514" s="1505"/>
      <c r="B514" s="1516" t="s">
        <v>454</v>
      </c>
      <c r="C514" s="1508"/>
      <c r="D514" s="1508"/>
      <c r="E514" s="1508"/>
      <c r="F514" s="532" t="s">
        <v>1367</v>
      </c>
      <c r="G514" s="1517" t="s">
        <v>1</v>
      </c>
      <c r="H514" s="2054"/>
      <c r="I514" s="2054"/>
      <c r="J514" s="1087"/>
      <c r="K514" s="1064"/>
      <c r="L514" s="1064"/>
      <c r="M514" s="1563"/>
      <c r="N514" s="2448">
        <f>N515</f>
        <v>20</v>
      </c>
      <c r="O514" s="1947"/>
      <c r="P514" s="1941"/>
      <c r="Q514" s="2057"/>
      <c r="R514" s="1988"/>
      <c r="V514" s="2448">
        <f t="shared" si="190"/>
        <v>0</v>
      </c>
      <c r="W514" s="2522">
        <f t="shared" si="190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13" x14ac:dyDescent="0.25">
      <c r="A515" s="1505"/>
      <c r="B515" s="1516" t="s">
        <v>34</v>
      </c>
      <c r="C515" s="1508"/>
      <c r="D515" s="1508"/>
      <c r="E515" s="1508"/>
      <c r="F515" s="532" t="s">
        <v>1367</v>
      </c>
      <c r="G515" s="1517" t="s">
        <v>1</v>
      </c>
      <c r="H515" s="2054" t="s">
        <v>463</v>
      </c>
      <c r="I515" s="2054" t="s">
        <v>495</v>
      </c>
      <c r="J515" s="1087"/>
      <c r="K515" s="1064"/>
      <c r="L515" s="1064"/>
      <c r="M515" s="1563"/>
      <c r="N515" s="2448">
        <v>20</v>
      </c>
      <c r="O515" s="1947"/>
      <c r="P515" s="1941"/>
      <c r="Q515" s="2057"/>
      <c r="R515" s="1988"/>
      <c r="V515" s="2448">
        <v>0</v>
      </c>
      <c r="W515" s="2522"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55.5" customHeight="1" x14ac:dyDescent="0.25">
      <c r="A516" s="1505"/>
      <c r="B516" s="2067" t="s">
        <v>1246</v>
      </c>
      <c r="C516" s="1508"/>
      <c r="D516" s="1508"/>
      <c r="E516" s="1508"/>
      <c r="F516" s="2045" t="s">
        <v>1341</v>
      </c>
      <c r="G516" s="2046"/>
      <c r="H516" s="2046"/>
      <c r="I516" s="1508"/>
      <c r="J516" s="1087"/>
      <c r="K516" s="1064"/>
      <c r="L516" s="1064"/>
      <c r="M516" s="1563"/>
      <c r="N516" s="2448">
        <f>N517</f>
        <v>458.44499999999999</v>
      </c>
      <c r="O516" s="1947"/>
      <c r="P516" s="1941"/>
      <c r="Q516" s="2057"/>
      <c r="R516" s="1988"/>
      <c r="V516" s="2448">
        <f t="shared" ref="V516:W518" si="191">V517</f>
        <v>190</v>
      </c>
      <c r="W516" s="2522">
        <f t="shared" si="191"/>
        <v>150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5.5" customHeight="1" x14ac:dyDescent="0.25">
      <c r="A517" s="1505"/>
      <c r="B517" s="724" t="s">
        <v>948</v>
      </c>
      <c r="C517" s="1508"/>
      <c r="D517" s="1508"/>
      <c r="E517" s="1508"/>
      <c r="F517" s="2045" t="s">
        <v>1341</v>
      </c>
      <c r="G517" s="2045" t="s">
        <v>955</v>
      </c>
      <c r="H517" s="2045"/>
      <c r="I517" s="1508"/>
      <c r="J517" s="1087"/>
      <c r="K517" s="1064"/>
      <c r="L517" s="1064"/>
      <c r="M517" s="1563"/>
      <c r="N517" s="2448">
        <f>N518</f>
        <v>458.44499999999999</v>
      </c>
      <c r="O517" s="1947"/>
      <c r="P517" s="1941"/>
      <c r="Q517" s="2057"/>
      <c r="R517" s="1988"/>
      <c r="V517" s="2448">
        <f t="shared" si="191"/>
        <v>190</v>
      </c>
      <c r="W517" s="2522">
        <f t="shared" si="191"/>
        <v>150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26" x14ac:dyDescent="0.25">
      <c r="A518" s="1505"/>
      <c r="B518" s="1544" t="s">
        <v>454</v>
      </c>
      <c r="C518" s="1508"/>
      <c r="D518" s="1508"/>
      <c r="E518" s="1508"/>
      <c r="F518" s="2045" t="s">
        <v>1341</v>
      </c>
      <c r="G518" s="2045" t="s">
        <v>1</v>
      </c>
      <c r="H518" s="2045"/>
      <c r="I518" s="1508"/>
      <c r="J518" s="1087"/>
      <c r="K518" s="1064"/>
      <c r="L518" s="1064"/>
      <c r="M518" s="1563"/>
      <c r="N518" s="2448">
        <f>N519</f>
        <v>458.44499999999999</v>
      </c>
      <c r="O518" s="1947"/>
      <c r="P518" s="1941"/>
      <c r="Q518" s="2057"/>
      <c r="R518" s="1988"/>
      <c r="V518" s="2448">
        <f t="shared" si="191"/>
        <v>190</v>
      </c>
      <c r="W518" s="2522">
        <f t="shared" si="191"/>
        <v>150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13" x14ac:dyDescent="0.25">
      <c r="A519" s="1505"/>
      <c r="B519" s="534" t="s">
        <v>34</v>
      </c>
      <c r="C519" s="1508"/>
      <c r="D519" s="1508"/>
      <c r="E519" s="1508"/>
      <c r="F519" s="2045" t="s">
        <v>1341</v>
      </c>
      <c r="G519" s="2045" t="s">
        <v>1</v>
      </c>
      <c r="H519" s="2045" t="s">
        <v>463</v>
      </c>
      <c r="I519" s="1508" t="s">
        <v>495</v>
      </c>
      <c r="J519" s="1087"/>
      <c r="K519" s="1064"/>
      <c r="L519" s="1064"/>
      <c r="M519" s="1563"/>
      <c r="N519" s="2448">
        <f>478.445-20</f>
        <v>458.44499999999999</v>
      </c>
      <c r="O519" s="1947"/>
      <c r="P519" s="1941"/>
      <c r="Q519" s="2057"/>
      <c r="R519" s="1988"/>
      <c r="V519" s="2448">
        <v>190</v>
      </c>
      <c r="W519" s="2522">
        <v>150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26" hidden="1" x14ac:dyDescent="0.25">
      <c r="A520" s="1504">
        <v>13</v>
      </c>
      <c r="B520" s="2162" t="s">
        <v>1146</v>
      </c>
      <c r="C520" s="1508"/>
      <c r="D520" s="1508"/>
      <c r="E520" s="1508"/>
      <c r="F520" s="2048" t="s">
        <v>1142</v>
      </c>
      <c r="G520" s="2046"/>
      <c r="H520" s="2046"/>
      <c r="I520" s="1508"/>
      <c r="J520" s="1087"/>
      <c r="K520" s="1064"/>
      <c r="L520" s="1064"/>
      <c r="M520" s="1563"/>
      <c r="N520" s="2450">
        <f>N521+N527</f>
        <v>0</v>
      </c>
      <c r="O520" s="1947"/>
      <c r="P520" s="1941"/>
      <c r="Q520" s="2057"/>
      <c r="R520" s="1988"/>
      <c r="V520" s="2450">
        <f>V521+V527</f>
        <v>0</v>
      </c>
      <c r="W520" s="2521">
        <f>W521+W527</f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25.9" hidden="1" customHeight="1" x14ac:dyDescent="0.25">
      <c r="A521" s="1504"/>
      <c r="B521" s="2269" t="s">
        <v>1027</v>
      </c>
      <c r="C521" s="1508"/>
      <c r="D521" s="1508"/>
      <c r="E521" s="1508"/>
      <c r="F521" s="2045" t="s">
        <v>1028</v>
      </c>
      <c r="G521" s="2046"/>
      <c r="H521" s="2046"/>
      <c r="I521" s="1508"/>
      <c r="J521" s="1087"/>
      <c r="K521" s="1064"/>
      <c r="L521" s="1064"/>
      <c r="M521" s="1563"/>
      <c r="N521" s="2448">
        <f t="shared" ref="N521:N525" si="192">N522</f>
        <v>0</v>
      </c>
      <c r="O521" s="1947"/>
      <c r="P521" s="1941"/>
      <c r="Q521" s="2057"/>
      <c r="R521" s="1988"/>
      <c r="V521" s="2448">
        <f t="shared" ref="V521:W525" si="193">V522</f>
        <v>0</v>
      </c>
      <c r="W521" s="2522">
        <f t="shared" si="193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83" customFormat="1" ht="26" hidden="1" x14ac:dyDescent="0.3">
      <c r="A522" s="1505"/>
      <c r="B522" s="2067" t="s">
        <v>1148</v>
      </c>
      <c r="C522" s="1508"/>
      <c r="D522" s="1508"/>
      <c r="E522" s="1508"/>
      <c r="F522" s="2045" t="s">
        <v>1147</v>
      </c>
      <c r="G522" s="2046"/>
      <c r="H522" s="2046"/>
      <c r="I522" s="1508"/>
      <c r="J522" s="1087"/>
      <c r="K522" s="1064"/>
      <c r="L522" s="1064"/>
      <c r="M522" s="1563"/>
      <c r="N522" s="2448">
        <f t="shared" si="192"/>
        <v>0</v>
      </c>
      <c r="O522" s="1947"/>
      <c r="P522" s="1941"/>
      <c r="Q522" s="2057"/>
      <c r="R522" s="1988"/>
      <c r="S522" s="2"/>
      <c r="T522" s="2"/>
      <c r="U522" s="2"/>
      <c r="V522" s="2448">
        <f t="shared" si="193"/>
        <v>0</v>
      </c>
      <c r="W522" s="2522">
        <f t="shared" si="193"/>
        <v>0</v>
      </c>
      <c r="X522" s="84"/>
      <c r="Z522" s="2141"/>
    </row>
    <row r="523" spans="1:256" s="83" customFormat="1" ht="39" hidden="1" x14ac:dyDescent="0.3">
      <c r="A523" s="1505"/>
      <c r="B523" s="2067" t="s">
        <v>1149</v>
      </c>
      <c r="C523" s="1508"/>
      <c r="D523" s="1508"/>
      <c r="E523" s="1508"/>
      <c r="F523" s="532" t="s">
        <v>1145</v>
      </c>
      <c r="G523" s="2046"/>
      <c r="H523" s="2046"/>
      <c r="I523" s="1508"/>
      <c r="J523" s="1087"/>
      <c r="K523" s="1064"/>
      <c r="L523" s="1064"/>
      <c r="M523" s="1563"/>
      <c r="N523" s="2448">
        <f t="shared" si="192"/>
        <v>0</v>
      </c>
      <c r="O523" s="1947"/>
      <c r="P523" s="1941"/>
      <c r="Q523" s="2057"/>
      <c r="R523" s="1988"/>
      <c r="S523" s="2"/>
      <c r="T523" s="2"/>
      <c r="U523" s="2"/>
      <c r="V523" s="2448">
        <f t="shared" si="193"/>
        <v>0</v>
      </c>
      <c r="W523" s="2522">
        <f t="shared" si="193"/>
        <v>0</v>
      </c>
      <c r="X523" s="84"/>
      <c r="Z523" s="2141"/>
    </row>
    <row r="524" spans="1:256" s="83" customFormat="1" ht="26" hidden="1" x14ac:dyDescent="0.3">
      <c r="A524" s="1505"/>
      <c r="B524" s="724" t="s">
        <v>948</v>
      </c>
      <c r="C524" s="1508"/>
      <c r="D524" s="1508"/>
      <c r="E524" s="1508"/>
      <c r="F524" s="532" t="s">
        <v>1145</v>
      </c>
      <c r="G524" s="2045" t="s">
        <v>955</v>
      </c>
      <c r="H524" s="2045"/>
      <c r="I524" s="1508"/>
      <c r="J524" s="1087"/>
      <c r="K524" s="1064"/>
      <c r="L524" s="1064"/>
      <c r="M524" s="1563"/>
      <c r="N524" s="2448">
        <f t="shared" si="192"/>
        <v>0</v>
      </c>
      <c r="O524" s="1947"/>
      <c r="P524" s="1941"/>
      <c r="Q524" s="2057"/>
      <c r="R524" s="1988"/>
      <c r="S524" s="2"/>
      <c r="T524" s="2"/>
      <c r="U524" s="2"/>
      <c r="V524" s="2448">
        <f t="shared" si="193"/>
        <v>0</v>
      </c>
      <c r="W524" s="2522">
        <f t="shared" si="193"/>
        <v>0</v>
      </c>
      <c r="X524" s="84"/>
      <c r="Z524" s="2141"/>
    </row>
    <row r="525" spans="1:256" s="83" customFormat="1" ht="26" hidden="1" x14ac:dyDescent="0.3">
      <c r="A525" s="1505"/>
      <c r="B525" s="1544" t="s">
        <v>454</v>
      </c>
      <c r="C525" s="1508"/>
      <c r="D525" s="1508"/>
      <c r="E525" s="1508"/>
      <c r="F525" s="532" t="s">
        <v>1145</v>
      </c>
      <c r="G525" s="2045" t="s">
        <v>1</v>
      </c>
      <c r="H525" s="2045"/>
      <c r="I525" s="1508"/>
      <c r="J525" s="1087"/>
      <c r="K525" s="1064"/>
      <c r="L525" s="1064"/>
      <c r="M525" s="1563"/>
      <c r="N525" s="2448">
        <f t="shared" si="192"/>
        <v>0</v>
      </c>
      <c r="O525" s="1947"/>
      <c r="P525" s="1941"/>
      <c r="Q525" s="2057"/>
      <c r="R525" s="1988"/>
      <c r="S525" s="2"/>
      <c r="T525" s="2"/>
      <c r="U525" s="2"/>
      <c r="V525" s="2448">
        <f>V526</f>
        <v>0</v>
      </c>
      <c r="W525" s="2522">
        <f t="shared" si="193"/>
        <v>0</v>
      </c>
      <c r="X525" s="84"/>
      <c r="Z525" s="2141"/>
    </row>
    <row r="526" spans="1:256" s="83" customFormat="1" ht="42.65" hidden="1" customHeight="1" x14ac:dyDescent="0.3">
      <c r="A526" s="1505"/>
      <c r="B526" s="744" t="s">
        <v>34</v>
      </c>
      <c r="C526" s="1508"/>
      <c r="D526" s="1508"/>
      <c r="E526" s="1508"/>
      <c r="F526" s="532" t="s">
        <v>1145</v>
      </c>
      <c r="G526" s="2045" t="s">
        <v>1</v>
      </c>
      <c r="H526" s="2045" t="s">
        <v>463</v>
      </c>
      <c r="I526" s="1508" t="s">
        <v>495</v>
      </c>
      <c r="J526" s="1087"/>
      <c r="K526" s="1064"/>
      <c r="L526" s="1064"/>
      <c r="M526" s="1563"/>
      <c r="N526" s="2448">
        <f>4129.999-1.562-777.778-362.241-1200-1788.418</f>
        <v>0</v>
      </c>
      <c r="O526" s="1947"/>
      <c r="P526" s="1941"/>
      <c r="Q526" s="2057"/>
      <c r="R526" s="1988"/>
      <c r="S526" s="2"/>
      <c r="T526" s="2"/>
      <c r="U526" s="2"/>
      <c r="V526" s="2448">
        <f>4129.999-1.562-777.778-362.241-1200-1788.418</f>
        <v>0</v>
      </c>
      <c r="W526" s="2522"/>
      <c r="X526" s="84"/>
      <c r="Z526" s="2141"/>
    </row>
    <row r="527" spans="1:256" s="83" customFormat="1" ht="13" hidden="1" x14ac:dyDescent="0.3">
      <c r="A527" s="1505"/>
      <c r="B527" s="2252" t="s">
        <v>1044</v>
      </c>
      <c r="C527" s="1508"/>
      <c r="D527" s="1508"/>
      <c r="E527" s="1508"/>
      <c r="F527" s="532" t="s">
        <v>1043</v>
      </c>
      <c r="G527" s="2046" t="s">
        <v>1</v>
      </c>
      <c r="H527" s="2046" t="s">
        <v>463</v>
      </c>
      <c r="I527" s="1508" t="s">
        <v>495</v>
      </c>
      <c r="J527" s="1087"/>
      <c r="K527" s="1064"/>
      <c r="L527" s="1064"/>
      <c r="M527" s="1563"/>
      <c r="N527" s="2448"/>
      <c r="O527" s="1947"/>
      <c r="P527" s="1941"/>
      <c r="Q527" s="2057"/>
      <c r="R527" s="1988"/>
      <c r="S527" s="2"/>
      <c r="T527" s="2"/>
      <c r="U527" s="2"/>
      <c r="V527" s="2448"/>
      <c r="W527" s="2522"/>
      <c r="X527" s="84"/>
      <c r="Z527" s="2141"/>
    </row>
    <row r="528" spans="1:256" s="83" customFormat="1" ht="39" x14ac:dyDescent="0.3">
      <c r="A528" s="1504">
        <v>14</v>
      </c>
      <c r="B528" s="2162" t="s">
        <v>1247</v>
      </c>
      <c r="C528" s="1508"/>
      <c r="D528" s="1508"/>
      <c r="E528" s="1508"/>
      <c r="F528" s="2048" t="s">
        <v>1165</v>
      </c>
      <c r="G528" s="2046"/>
      <c r="H528" s="2046"/>
      <c r="I528" s="1508"/>
      <c r="J528" s="1087"/>
      <c r="K528" s="1064"/>
      <c r="L528" s="1064"/>
      <c r="M528" s="1563"/>
      <c r="N528" s="2448">
        <f t="shared" ref="N528:N533" si="194">N529</f>
        <v>0</v>
      </c>
      <c r="O528" s="1947"/>
      <c r="P528" s="1941"/>
      <c r="Q528" s="2057"/>
      <c r="R528" s="1988"/>
      <c r="S528" s="2351"/>
      <c r="T528" s="2351"/>
      <c r="U528" s="2351"/>
      <c r="V528" s="2448">
        <f>V534+V540</f>
        <v>2331.0073000000002</v>
      </c>
      <c r="W528" s="2522">
        <f>W534+W540</f>
        <v>0</v>
      </c>
      <c r="X528" s="84"/>
      <c r="Z528" s="2141"/>
    </row>
    <row r="529" spans="1:26" s="83" customFormat="1" ht="13" x14ac:dyDescent="0.3">
      <c r="A529" s="1505"/>
      <c r="B529" s="2998" t="s">
        <v>1297</v>
      </c>
      <c r="C529" s="1508"/>
      <c r="D529" s="1508"/>
      <c r="E529" s="1508"/>
      <c r="F529" s="2045" t="s">
        <v>1347</v>
      </c>
      <c r="G529" s="2046"/>
      <c r="H529" s="2046"/>
      <c r="I529" s="1508"/>
      <c r="J529" s="1087"/>
      <c r="K529" s="1064"/>
      <c r="L529" s="1064"/>
      <c r="M529" s="1563"/>
      <c r="N529" s="2448">
        <f t="shared" si="194"/>
        <v>0</v>
      </c>
      <c r="O529" s="1947"/>
      <c r="P529" s="1941"/>
      <c r="Q529" s="2057"/>
      <c r="R529" s="1988"/>
      <c r="S529" s="2351"/>
      <c r="T529" s="2351"/>
      <c r="U529" s="2351"/>
      <c r="V529" s="2448">
        <f t="shared" ref="V529:W533" si="195">V530</f>
        <v>2331.0073000000002</v>
      </c>
      <c r="W529" s="2522">
        <f t="shared" si="195"/>
        <v>0</v>
      </c>
      <c r="X529" s="84"/>
      <c r="Z529" s="2141"/>
    </row>
    <row r="530" spans="1:26" s="83" customFormat="1" ht="29.15" customHeight="1" x14ac:dyDescent="0.3">
      <c r="A530" s="1505"/>
      <c r="B530" s="2998" t="s">
        <v>1330</v>
      </c>
      <c r="C530" s="1508"/>
      <c r="D530" s="1508"/>
      <c r="E530" s="1508"/>
      <c r="F530" s="2045" t="s">
        <v>1346</v>
      </c>
      <c r="G530" s="2046"/>
      <c r="H530" s="2046"/>
      <c r="I530" s="1508"/>
      <c r="J530" s="1087"/>
      <c r="K530" s="1064"/>
      <c r="L530" s="1064"/>
      <c r="M530" s="1563"/>
      <c r="N530" s="2448">
        <f t="shared" si="194"/>
        <v>0</v>
      </c>
      <c r="O530" s="1947"/>
      <c r="P530" s="1941"/>
      <c r="Q530" s="2057"/>
      <c r="R530" s="1988"/>
      <c r="S530" s="2351"/>
      <c r="T530" s="2351"/>
      <c r="U530" s="2351"/>
      <c r="V530" s="2448">
        <f t="shared" si="195"/>
        <v>2331.0073000000002</v>
      </c>
      <c r="W530" s="2522">
        <f t="shared" si="195"/>
        <v>0</v>
      </c>
      <c r="X530" s="84"/>
      <c r="Z530" s="2141"/>
    </row>
    <row r="531" spans="1:26" s="83" customFormat="1" ht="27" customHeight="1" x14ac:dyDescent="0.3">
      <c r="A531" s="1505"/>
      <c r="B531" s="2067" t="s">
        <v>1345</v>
      </c>
      <c r="C531" s="1508"/>
      <c r="D531" s="1508"/>
      <c r="E531" s="1508"/>
      <c r="F531" s="2045" t="s">
        <v>1344</v>
      </c>
      <c r="G531" s="2046"/>
      <c r="H531" s="2046"/>
      <c r="I531" s="1508"/>
      <c r="J531" s="1087"/>
      <c r="K531" s="1064"/>
      <c r="L531" s="1064"/>
      <c r="M531" s="1563"/>
      <c r="N531" s="2448">
        <f t="shared" si="194"/>
        <v>0</v>
      </c>
      <c r="O531" s="1947"/>
      <c r="P531" s="1941"/>
      <c r="Q531" s="2057"/>
      <c r="R531" s="1988"/>
      <c r="S531" s="2351"/>
      <c r="T531" s="2351"/>
      <c r="U531" s="2351"/>
      <c r="V531" s="2448">
        <f t="shared" si="195"/>
        <v>2331.0073000000002</v>
      </c>
      <c r="W531" s="2522">
        <f t="shared" si="195"/>
        <v>0</v>
      </c>
      <c r="X531" s="84"/>
      <c r="Z531" s="2141"/>
    </row>
    <row r="532" spans="1:26" s="83" customFormat="1" ht="26" x14ac:dyDescent="0.3">
      <c r="A532" s="1505"/>
      <c r="B532" s="724" t="s">
        <v>1061</v>
      </c>
      <c r="C532" s="1508"/>
      <c r="D532" s="1508"/>
      <c r="E532" s="1508"/>
      <c r="F532" s="2045" t="s">
        <v>1344</v>
      </c>
      <c r="G532" s="2045" t="s">
        <v>1060</v>
      </c>
      <c r="H532" s="2045"/>
      <c r="I532" s="1508"/>
      <c r="J532" s="1087"/>
      <c r="K532" s="1064"/>
      <c r="L532" s="1064"/>
      <c r="M532" s="1563"/>
      <c r="N532" s="2448">
        <f t="shared" si="194"/>
        <v>0</v>
      </c>
      <c r="O532" s="1947"/>
      <c r="P532" s="1941"/>
      <c r="Q532" s="2057"/>
      <c r="R532" s="1988"/>
      <c r="S532" s="2351"/>
      <c r="T532" s="2351"/>
      <c r="U532" s="2351"/>
      <c r="V532" s="2448">
        <f t="shared" si="195"/>
        <v>2331.0073000000002</v>
      </c>
      <c r="W532" s="2522">
        <f t="shared" si="195"/>
        <v>0</v>
      </c>
      <c r="X532" s="84"/>
      <c r="Z532" s="2141"/>
    </row>
    <row r="533" spans="1:26" s="83" customFormat="1" ht="13" x14ac:dyDescent="0.3">
      <c r="A533" s="1505"/>
      <c r="B533" s="1544" t="s">
        <v>481</v>
      </c>
      <c r="C533" s="1508"/>
      <c r="D533" s="1508"/>
      <c r="E533" s="1508"/>
      <c r="F533" s="2045" t="s">
        <v>1344</v>
      </c>
      <c r="G533" s="2045" t="s">
        <v>26</v>
      </c>
      <c r="H533" s="2045"/>
      <c r="I533" s="1508"/>
      <c r="J533" s="1087"/>
      <c r="K533" s="1064"/>
      <c r="L533" s="1064"/>
      <c r="M533" s="1563"/>
      <c r="N533" s="2448">
        <f t="shared" si="194"/>
        <v>0</v>
      </c>
      <c r="O533" s="1947"/>
      <c r="P533" s="1941"/>
      <c r="Q533" s="2057"/>
      <c r="R533" s="1988"/>
      <c r="S533" s="2351"/>
      <c r="T533" s="2351"/>
      <c r="U533" s="2351"/>
      <c r="V533" s="2448">
        <f t="shared" si="195"/>
        <v>2331.0073000000002</v>
      </c>
      <c r="W533" s="2522">
        <f t="shared" si="195"/>
        <v>0</v>
      </c>
      <c r="X533" s="84"/>
      <c r="Z533" s="2141"/>
    </row>
    <row r="534" spans="1:26" s="83" customFormat="1" ht="13" x14ac:dyDescent="0.3">
      <c r="A534" s="1505"/>
      <c r="B534" s="534" t="s">
        <v>34</v>
      </c>
      <c r="C534" s="1508"/>
      <c r="D534" s="1508"/>
      <c r="E534" s="1508"/>
      <c r="F534" s="2045" t="s">
        <v>1344</v>
      </c>
      <c r="G534" s="2045" t="s">
        <v>26</v>
      </c>
      <c r="H534" s="2045" t="s">
        <v>463</v>
      </c>
      <c r="I534" s="1508" t="s">
        <v>495</v>
      </c>
      <c r="J534" s="1087"/>
      <c r="K534" s="1064"/>
      <c r="L534" s="1064"/>
      <c r="M534" s="1563"/>
      <c r="N534" s="2448">
        <v>0</v>
      </c>
      <c r="O534" s="1947"/>
      <c r="P534" s="1941"/>
      <c r="Q534" s="2057"/>
      <c r="R534" s="1988"/>
      <c r="S534" s="2351"/>
      <c r="T534" s="2351"/>
      <c r="U534" s="2351"/>
      <c r="V534" s="2448">
        <v>2331.0073000000002</v>
      </c>
      <c r="W534" s="2522">
        <v>0</v>
      </c>
      <c r="X534" s="84"/>
      <c r="Z534" s="2141"/>
    </row>
    <row r="535" spans="1:26" s="83" customFormat="1" ht="27" hidden="1" customHeight="1" x14ac:dyDescent="0.3">
      <c r="A535" s="1505"/>
      <c r="B535" s="2067" t="s">
        <v>1188</v>
      </c>
      <c r="C535" s="1508"/>
      <c r="D535" s="1508"/>
      <c r="E535" s="1508"/>
      <c r="F535" s="2045" t="s">
        <v>1173</v>
      </c>
      <c r="G535" s="2045"/>
      <c r="H535" s="2045"/>
      <c r="I535" s="1508"/>
      <c r="J535" s="1087"/>
      <c r="K535" s="1064"/>
      <c r="L535" s="1064"/>
      <c r="M535" s="1563"/>
      <c r="N535" s="2448">
        <f>N536</f>
        <v>0</v>
      </c>
      <c r="O535" s="1947"/>
      <c r="P535" s="1941"/>
      <c r="Q535" s="2057"/>
      <c r="R535" s="1988"/>
      <c r="S535" s="2351"/>
      <c r="T535" s="2351"/>
      <c r="U535" s="2351"/>
      <c r="V535" s="2448">
        <f t="shared" ref="V535:W539" si="196">V536</f>
        <v>0</v>
      </c>
      <c r="W535" s="2522">
        <f t="shared" si="196"/>
        <v>0</v>
      </c>
      <c r="X535" s="84"/>
      <c r="Z535" s="2141"/>
    </row>
    <row r="536" spans="1:26" s="83" customFormat="1" ht="26" hidden="1" x14ac:dyDescent="0.3">
      <c r="A536" s="1505"/>
      <c r="B536" s="2067" t="s">
        <v>1189</v>
      </c>
      <c r="C536" s="1508"/>
      <c r="D536" s="1508"/>
      <c r="E536" s="1508"/>
      <c r="F536" s="2045" t="s">
        <v>1174</v>
      </c>
      <c r="G536" s="2045"/>
      <c r="H536" s="2045"/>
      <c r="I536" s="1508"/>
      <c r="J536" s="1087"/>
      <c r="K536" s="1064"/>
      <c r="L536" s="1064"/>
      <c r="M536" s="1563"/>
      <c r="N536" s="2448">
        <f>N537</f>
        <v>0</v>
      </c>
      <c r="O536" s="1947"/>
      <c r="P536" s="1941"/>
      <c r="Q536" s="2057"/>
      <c r="R536" s="1988"/>
      <c r="S536" s="2351"/>
      <c r="T536" s="2351"/>
      <c r="U536" s="2351"/>
      <c r="V536" s="2448">
        <f t="shared" si="196"/>
        <v>0</v>
      </c>
      <c r="W536" s="2522">
        <f t="shared" si="196"/>
        <v>0</v>
      </c>
      <c r="X536" s="84"/>
      <c r="Z536" s="2141"/>
    </row>
    <row r="537" spans="1:26" s="83" customFormat="1" ht="39" hidden="1" x14ac:dyDescent="0.3">
      <c r="A537" s="1505"/>
      <c r="B537" s="534" t="s">
        <v>1176</v>
      </c>
      <c r="C537" s="1508"/>
      <c r="D537" s="1508"/>
      <c r="E537" s="1508"/>
      <c r="F537" s="2045" t="s">
        <v>1175</v>
      </c>
      <c r="G537" s="2045"/>
      <c r="H537" s="2045"/>
      <c r="I537" s="1508"/>
      <c r="J537" s="1087"/>
      <c r="K537" s="1064"/>
      <c r="L537" s="1064"/>
      <c r="M537" s="1563"/>
      <c r="N537" s="2448">
        <f>N538</f>
        <v>0</v>
      </c>
      <c r="O537" s="1947"/>
      <c r="P537" s="1941"/>
      <c r="Q537" s="2057"/>
      <c r="R537" s="1988"/>
      <c r="S537" s="2351"/>
      <c r="T537" s="2351"/>
      <c r="U537" s="2351"/>
      <c r="V537" s="2448">
        <f t="shared" si="196"/>
        <v>0</v>
      </c>
      <c r="W537" s="2522">
        <f t="shared" si="196"/>
        <v>0</v>
      </c>
      <c r="X537" s="84"/>
      <c r="Z537" s="2141"/>
    </row>
    <row r="538" spans="1:26" s="83" customFormat="1" ht="26" hidden="1" x14ac:dyDescent="0.3">
      <c r="A538" s="1505"/>
      <c r="B538" s="2350" t="s">
        <v>1061</v>
      </c>
      <c r="C538" s="1508"/>
      <c r="D538" s="1508"/>
      <c r="E538" s="1508"/>
      <c r="F538" s="2045" t="s">
        <v>1175</v>
      </c>
      <c r="G538" s="9" t="s">
        <v>1060</v>
      </c>
      <c r="H538" s="2045"/>
      <c r="I538" s="1508"/>
      <c r="J538" s="1087"/>
      <c r="K538" s="1064"/>
      <c r="L538" s="1064"/>
      <c r="M538" s="1563"/>
      <c r="N538" s="2448">
        <f>N539</f>
        <v>0</v>
      </c>
      <c r="O538" s="1947"/>
      <c r="P538" s="1941"/>
      <c r="Q538" s="2057"/>
      <c r="R538" s="1988"/>
      <c r="S538" s="2351"/>
      <c r="T538" s="2351"/>
      <c r="U538" s="2351"/>
      <c r="V538" s="2448">
        <f t="shared" si="196"/>
        <v>0</v>
      </c>
      <c r="W538" s="2522">
        <f t="shared" si="196"/>
        <v>0</v>
      </c>
      <c r="X538" s="84"/>
      <c r="Z538" s="2141"/>
    </row>
    <row r="539" spans="1:26" s="83" customFormat="1" ht="13" hidden="1" x14ac:dyDescent="0.3">
      <c r="A539" s="1505"/>
      <c r="B539" s="58" t="s">
        <v>28</v>
      </c>
      <c r="C539" s="1508"/>
      <c r="D539" s="1508"/>
      <c r="E539" s="1508"/>
      <c r="F539" s="2045" t="s">
        <v>1175</v>
      </c>
      <c r="G539" s="9" t="s">
        <v>26</v>
      </c>
      <c r="H539" s="2045"/>
      <c r="I539" s="1508"/>
      <c r="J539" s="1087"/>
      <c r="K539" s="1064"/>
      <c r="L539" s="1064"/>
      <c r="M539" s="1563"/>
      <c r="N539" s="2448">
        <f>N540</f>
        <v>0</v>
      </c>
      <c r="O539" s="1947"/>
      <c r="P539" s="1941"/>
      <c r="Q539" s="2057"/>
      <c r="R539" s="1988"/>
      <c r="S539" s="2351"/>
      <c r="T539" s="2351"/>
      <c r="U539" s="2351"/>
      <c r="V539" s="2448">
        <f t="shared" si="196"/>
        <v>0</v>
      </c>
      <c r="W539" s="2522">
        <f t="shared" si="196"/>
        <v>0</v>
      </c>
      <c r="X539" s="84"/>
      <c r="Z539" s="2141"/>
    </row>
    <row r="540" spans="1:26" s="83" customFormat="1" ht="13" hidden="1" x14ac:dyDescent="0.3">
      <c r="A540" s="1505"/>
      <c r="B540" s="534" t="s">
        <v>1164</v>
      </c>
      <c r="C540" s="1508"/>
      <c r="D540" s="1508"/>
      <c r="E540" s="1508"/>
      <c r="F540" s="2045" t="s">
        <v>1175</v>
      </c>
      <c r="G540" s="9" t="s">
        <v>26</v>
      </c>
      <c r="H540" s="2045" t="s">
        <v>452</v>
      </c>
      <c r="I540" s="1508" t="s">
        <v>463</v>
      </c>
      <c r="J540" s="1087"/>
      <c r="K540" s="1064"/>
      <c r="L540" s="1064"/>
      <c r="M540" s="1563"/>
      <c r="N540" s="2448">
        <v>0</v>
      </c>
      <c r="O540" s="1947"/>
      <c r="P540" s="1941"/>
      <c r="Q540" s="2057"/>
      <c r="R540" s="1988"/>
      <c r="S540" s="2351"/>
      <c r="T540" s="2351"/>
      <c r="U540" s="2351"/>
      <c r="V540" s="2448">
        <v>0</v>
      </c>
      <c r="W540" s="2522">
        <v>0</v>
      </c>
      <c r="X540" s="84"/>
      <c r="Z540" s="2141"/>
    </row>
    <row r="541" spans="1:26" s="83" customFormat="1" ht="15" x14ac:dyDescent="0.3">
      <c r="A541" s="32"/>
      <c r="B541" s="1979" t="s">
        <v>158</v>
      </c>
      <c r="C541" s="34"/>
      <c r="D541" s="88"/>
      <c r="E541" s="9"/>
      <c r="F541" s="9"/>
      <c r="G541" s="9"/>
      <c r="H541" s="9"/>
      <c r="I541" s="9"/>
      <c r="J541" s="1111">
        <f>J542+J631+J645</f>
        <v>47038.588000000003</v>
      </c>
      <c r="K541" s="1065"/>
      <c r="L541" s="1064">
        <f t="shared" ref="L541:R541" si="197">L542+L631+L645</f>
        <v>28148.264999999999</v>
      </c>
      <c r="M541" s="1563">
        <f t="shared" si="197"/>
        <v>29104.548000000003</v>
      </c>
      <c r="N541" s="2547">
        <f>N542+N631+N645</f>
        <v>49369.313080000007</v>
      </c>
      <c r="O541" s="2060">
        <f t="shared" si="197"/>
        <v>22421.825000000004</v>
      </c>
      <c r="P541" s="2061">
        <f t="shared" si="197"/>
        <v>23877.43</v>
      </c>
      <c r="Q541" s="2062">
        <f t="shared" si="197"/>
        <v>30018.576999999997</v>
      </c>
      <c r="R541" s="2063">
        <f t="shared" si="197"/>
        <v>30189.748999999996</v>
      </c>
      <c r="S541" s="2"/>
      <c r="T541" s="2"/>
      <c r="U541" s="2"/>
      <c r="V541" s="2547">
        <f>V542+V631+V645</f>
        <v>40848.299499999994</v>
      </c>
      <c r="W541" s="2529">
        <f>W542+W631+W645</f>
        <v>42231.731820000001</v>
      </c>
      <c r="X541" s="84"/>
      <c r="Z541" s="2141"/>
    </row>
    <row r="542" spans="1:26" s="83" customFormat="1" ht="39" x14ac:dyDescent="0.3">
      <c r="A542" s="91">
        <v>15</v>
      </c>
      <c r="B542" s="126" t="s">
        <v>126</v>
      </c>
      <c r="C542" s="118"/>
      <c r="D542" s="89" t="s">
        <v>69</v>
      </c>
      <c r="E542" s="89" t="s">
        <v>112</v>
      </c>
      <c r="F542" s="113" t="s">
        <v>157</v>
      </c>
      <c r="G542" s="118"/>
      <c r="H542" s="118"/>
      <c r="I542" s="89"/>
      <c r="J542" s="1113">
        <f>J550+J625+J594+J597+J601+J609+J605</f>
        <v>14363.046000000004</v>
      </c>
      <c r="K542" s="1059"/>
      <c r="L542" s="1059">
        <f>L550+L591+L594+L597+L601+L609+L617</f>
        <v>14872.082</v>
      </c>
      <c r="M542" s="1551">
        <f>M550+M591+M594+M597+M601+M609+M617</f>
        <v>15828.365000000002</v>
      </c>
      <c r="N542" s="2452">
        <f>N543+N549+N625</f>
        <v>31086.012999999999</v>
      </c>
      <c r="O542" s="1990">
        <f>O554+O556+O560+O564+O579+O583+O588+O608+O611+O614+O630+O620</f>
        <v>17791.410000000003</v>
      </c>
      <c r="P542" s="1934">
        <f>P554+P556+P560+P564+P579+P583+P588+P608+P611+P614+P630+P620</f>
        <v>18871.780000000002</v>
      </c>
      <c r="Q542" s="1991">
        <f>Q543+Q549+Q625</f>
        <v>21581.35</v>
      </c>
      <c r="R542" s="1992">
        <f>R543+R549+R625</f>
        <v>22370.437999999998</v>
      </c>
      <c r="S542" s="84"/>
      <c r="T542" s="84"/>
      <c r="U542" s="84"/>
      <c r="V542" s="2452">
        <f>V543+V549+V625</f>
        <v>28017.416499999996</v>
      </c>
      <c r="W542" s="2523">
        <f>W543+W549+W625</f>
        <v>29195.353819999997</v>
      </c>
      <c r="X542" s="84"/>
      <c r="Z542" s="2141"/>
    </row>
    <row r="543" spans="1:26" s="83" customFormat="1" ht="20" x14ac:dyDescent="0.3">
      <c r="A543" s="91"/>
      <c r="B543" s="285" t="s">
        <v>866</v>
      </c>
      <c r="C543" s="118"/>
      <c r="D543" s="89"/>
      <c r="E543" s="89"/>
      <c r="F543" s="112" t="s">
        <v>598</v>
      </c>
      <c r="G543" s="119"/>
      <c r="H543" s="119"/>
      <c r="I543" s="33"/>
      <c r="J543" s="1113"/>
      <c r="K543" s="1059"/>
      <c r="L543" s="1059"/>
      <c r="M543" s="1551"/>
      <c r="N543" s="2451">
        <f>N544</f>
        <v>2133.8009999999999</v>
      </c>
      <c r="O543" s="1990"/>
      <c r="P543" s="1934"/>
      <c r="Q543" s="2000">
        <f t="shared" ref="Q543:R547" si="198">Q544</f>
        <v>1764.761</v>
      </c>
      <c r="R543" s="2001">
        <f t="shared" si="198"/>
        <v>1832.232</v>
      </c>
      <c r="S543" s="84"/>
      <c r="T543" s="84"/>
      <c r="U543" s="84"/>
      <c r="V543" s="2451">
        <f t="shared" ref="V543:W547" si="199">V544</f>
        <v>1930.921</v>
      </c>
      <c r="W543" s="2524">
        <f t="shared" si="199"/>
        <v>2008.1569999999999</v>
      </c>
      <c r="X543" s="84"/>
      <c r="Z543" s="2141"/>
    </row>
    <row r="544" spans="1:26" s="83" customFormat="1" ht="13" x14ac:dyDescent="0.3">
      <c r="A544" s="91"/>
      <c r="B544" s="285" t="s">
        <v>582</v>
      </c>
      <c r="C544" s="118"/>
      <c r="D544" s="89"/>
      <c r="E544" s="89"/>
      <c r="F544" s="112" t="s">
        <v>597</v>
      </c>
      <c r="G544" s="119"/>
      <c r="H544" s="119"/>
      <c r="I544" s="33"/>
      <c r="J544" s="1113"/>
      <c r="K544" s="1059"/>
      <c r="L544" s="1059"/>
      <c r="M544" s="1551"/>
      <c r="N544" s="2451">
        <f>N545</f>
        <v>2133.8009999999999</v>
      </c>
      <c r="O544" s="1990"/>
      <c r="P544" s="1934"/>
      <c r="Q544" s="2000">
        <f t="shared" si="198"/>
        <v>1764.761</v>
      </c>
      <c r="R544" s="2001">
        <f t="shared" si="198"/>
        <v>1832.232</v>
      </c>
      <c r="S544" s="84"/>
      <c r="T544" s="84"/>
      <c r="U544" s="84"/>
      <c r="V544" s="2451">
        <f t="shared" si="199"/>
        <v>1930.921</v>
      </c>
      <c r="W544" s="2524">
        <f t="shared" si="199"/>
        <v>2008.1569999999999</v>
      </c>
      <c r="X544" s="84"/>
      <c r="Z544" s="2141"/>
    </row>
    <row r="545" spans="1:26" s="83" customFormat="1" ht="40.5" customHeight="1" x14ac:dyDescent="0.3">
      <c r="A545" s="91"/>
      <c r="B545" s="285" t="s">
        <v>867</v>
      </c>
      <c r="C545" s="118"/>
      <c r="D545" s="89"/>
      <c r="E545" s="89"/>
      <c r="F545" s="113" t="s">
        <v>593</v>
      </c>
      <c r="G545" s="119"/>
      <c r="H545" s="119"/>
      <c r="I545" s="33"/>
      <c r="J545" s="1113"/>
      <c r="K545" s="1059"/>
      <c r="L545" s="1059"/>
      <c r="M545" s="1551"/>
      <c r="N545" s="2452">
        <f>N547</f>
        <v>2133.8009999999999</v>
      </c>
      <c r="O545" s="1990"/>
      <c r="P545" s="1934"/>
      <c r="Q545" s="1991">
        <f>Q547</f>
        <v>1764.761</v>
      </c>
      <c r="R545" s="1992">
        <f>R547</f>
        <v>1832.232</v>
      </c>
      <c r="S545" s="84"/>
      <c r="T545" s="84"/>
      <c r="U545" s="84"/>
      <c r="V545" s="2452">
        <f>V547</f>
        <v>1930.921</v>
      </c>
      <c r="W545" s="2523">
        <f>W547</f>
        <v>2008.1569999999999</v>
      </c>
      <c r="X545" s="84"/>
      <c r="Z545" s="2141"/>
    </row>
    <row r="546" spans="1:26" s="83" customFormat="1" ht="44.15" hidden="1" customHeight="1" x14ac:dyDescent="0.3">
      <c r="A546" s="91"/>
      <c r="B546" s="49" t="s">
        <v>1063</v>
      </c>
      <c r="C546" s="118"/>
      <c r="D546" s="89"/>
      <c r="E546" s="89"/>
      <c r="F546" s="112" t="s">
        <v>593</v>
      </c>
      <c r="G546" s="119">
        <v>100</v>
      </c>
      <c r="H546" s="119"/>
      <c r="I546" s="33"/>
      <c r="J546" s="1113"/>
      <c r="K546" s="1059"/>
      <c r="L546" s="1059"/>
      <c r="M546" s="1551"/>
      <c r="N546" s="2451">
        <f>N547</f>
        <v>2133.8009999999999</v>
      </c>
      <c r="O546" s="1999"/>
      <c r="P546" s="1937"/>
      <c r="Q546" s="2000"/>
      <c r="R546" s="2001"/>
      <c r="S546" s="1028"/>
      <c r="T546" s="1028"/>
      <c r="U546" s="1028"/>
      <c r="V546" s="2451">
        <f t="shared" ref="V546:W546" si="200">V547</f>
        <v>1930.921</v>
      </c>
      <c r="W546" s="2524">
        <f t="shared" si="200"/>
        <v>2008.1569999999999</v>
      </c>
      <c r="X546" s="84"/>
      <c r="Z546" s="2141"/>
    </row>
    <row r="547" spans="1:26" s="83" customFormat="1" ht="41.5" customHeight="1" x14ac:dyDescent="0.3">
      <c r="A547" s="91"/>
      <c r="B547" s="284" t="s">
        <v>571</v>
      </c>
      <c r="C547" s="118"/>
      <c r="D547" s="89"/>
      <c r="E547" s="89"/>
      <c r="F547" s="112" t="s">
        <v>593</v>
      </c>
      <c r="G547" s="119">
        <v>120</v>
      </c>
      <c r="H547" s="119"/>
      <c r="I547" s="33"/>
      <c r="J547" s="1113"/>
      <c r="K547" s="1059"/>
      <c r="L547" s="1059"/>
      <c r="M547" s="1551"/>
      <c r="N547" s="2451">
        <f>N548</f>
        <v>2133.8009999999999</v>
      </c>
      <c r="O547" s="1990"/>
      <c r="P547" s="1934"/>
      <c r="Q547" s="2000">
        <f t="shared" si="198"/>
        <v>1764.761</v>
      </c>
      <c r="R547" s="2001">
        <f t="shared" si="198"/>
        <v>1832.232</v>
      </c>
      <c r="S547" s="84"/>
      <c r="T547" s="84"/>
      <c r="U547" s="84"/>
      <c r="V547" s="2451">
        <f t="shared" si="199"/>
        <v>1930.921</v>
      </c>
      <c r="W547" s="2524">
        <f t="shared" si="199"/>
        <v>2008.1569999999999</v>
      </c>
      <c r="X547" s="84"/>
      <c r="Z547" s="2141"/>
    </row>
    <row r="548" spans="1:26" s="83" customFormat="1" ht="41.5" customHeight="1" x14ac:dyDescent="0.3">
      <c r="A548" s="91"/>
      <c r="B548" s="285" t="s">
        <v>600</v>
      </c>
      <c r="C548" s="118"/>
      <c r="D548" s="89"/>
      <c r="E548" s="89"/>
      <c r="F548" s="112" t="s">
        <v>593</v>
      </c>
      <c r="G548" s="119">
        <v>120</v>
      </c>
      <c r="H548" s="9" t="s">
        <v>456</v>
      </c>
      <c r="I548" s="33" t="s">
        <v>488</v>
      </c>
      <c r="J548" s="1113"/>
      <c r="K548" s="1059"/>
      <c r="L548" s="1059"/>
      <c r="M548" s="1551"/>
      <c r="N548" s="2451">
        <f>1856.647+277.154</f>
        <v>2133.8009999999999</v>
      </c>
      <c r="O548" s="1990"/>
      <c r="P548" s="1934"/>
      <c r="Q548" s="2064">
        <v>1764.761</v>
      </c>
      <c r="R548" s="2065">
        <v>1832.232</v>
      </c>
      <c r="S548" s="84"/>
      <c r="T548" s="84"/>
      <c r="U548" s="84"/>
      <c r="V548" s="2451">
        <v>1930.921</v>
      </c>
      <c r="W548" s="2524">
        <v>2008.1569999999999</v>
      </c>
      <c r="X548" s="84"/>
      <c r="Z548" s="2141"/>
    </row>
    <row r="549" spans="1:26" ht="41.5" customHeight="1" x14ac:dyDescent="0.3">
      <c r="A549" s="91"/>
      <c r="B549" s="1093" t="s">
        <v>156</v>
      </c>
      <c r="C549" s="118"/>
      <c r="D549" s="89"/>
      <c r="E549" s="89"/>
      <c r="F549" s="112" t="s">
        <v>155</v>
      </c>
      <c r="G549" s="118"/>
      <c r="H549" s="118"/>
      <c r="I549" s="89"/>
      <c r="J549" s="1115">
        <f>J542</f>
        <v>14363.046000000004</v>
      </c>
      <c r="K549" s="1059"/>
      <c r="L549" s="1059"/>
      <c r="M549" s="1551"/>
      <c r="N549" s="2451">
        <f>N550</f>
        <v>26817.847999999998</v>
      </c>
      <c r="O549" s="1999">
        <f>O542</f>
        <v>17791.410000000003</v>
      </c>
      <c r="P549" s="1937">
        <f>P542</f>
        <v>18871.780000000002</v>
      </c>
      <c r="Q549" s="2007">
        <f>Q554+Q556+Q560+Q564+Q611+Q614</f>
        <v>18243.485000000001</v>
      </c>
      <c r="R549" s="2008">
        <f>R554+R556+R560+R564+R611+R614</f>
        <v>18902.178</v>
      </c>
      <c r="S549" s="84"/>
      <c r="T549" s="84"/>
      <c r="U549" s="84"/>
      <c r="V549" s="2451">
        <f>V550</f>
        <v>23866.757499999996</v>
      </c>
      <c r="W549" s="2524">
        <f>W550</f>
        <v>24878.669819999999</v>
      </c>
    </row>
    <row r="550" spans="1:26" ht="28" customHeight="1" x14ac:dyDescent="0.3">
      <c r="A550" s="85"/>
      <c r="B550" s="1093" t="s">
        <v>109</v>
      </c>
      <c r="C550" s="118"/>
      <c r="D550" s="33" t="s">
        <v>69</v>
      </c>
      <c r="E550" s="33" t="s">
        <v>112</v>
      </c>
      <c r="F550" s="112" t="s">
        <v>154</v>
      </c>
      <c r="G550" s="118"/>
      <c r="H550" s="118"/>
      <c r="I550" s="33"/>
      <c r="J550" s="1060">
        <f>J553+J558+J578+J582+J587</f>
        <v>12462.203000000003</v>
      </c>
      <c r="K550" s="1058"/>
      <c r="L550" s="1059">
        <f>L553+L558</f>
        <v>12437.288999999999</v>
      </c>
      <c r="M550" s="1551">
        <f>M553+M558</f>
        <v>13307.900000000001</v>
      </c>
      <c r="N550" s="2452">
        <f>N551+N576+N580+N605+N609</f>
        <v>26817.847999999998</v>
      </c>
      <c r="O550" s="1999">
        <f>O553+O558+O578+O582+O587</f>
        <v>15466.985000000001</v>
      </c>
      <c r="P550" s="1937">
        <f>P553+P558+P578+P582+P587</f>
        <v>16326.328000000001</v>
      </c>
      <c r="Q550" s="1991">
        <f>Q554+Q556+Q560+Q564+Q611+Q614</f>
        <v>18243.485000000001</v>
      </c>
      <c r="R550" s="1992">
        <f>R554+R556+R560+R564+R611+R614</f>
        <v>18902.178</v>
      </c>
      <c r="S550" s="84"/>
      <c r="T550" s="84"/>
      <c r="U550" s="84"/>
      <c r="V550" s="2452">
        <f>V551+V576+V580+V605+V609</f>
        <v>23866.757499999996</v>
      </c>
      <c r="W550" s="2523">
        <f>W551+W576+W580+W605+W609</f>
        <v>24878.669819999999</v>
      </c>
    </row>
    <row r="551" spans="1:26" s="83" customFormat="1" ht="29.5" customHeight="1" x14ac:dyDescent="0.3">
      <c r="A551" s="85"/>
      <c r="B551" s="1110" t="s">
        <v>153</v>
      </c>
      <c r="C551" s="118"/>
      <c r="D551" s="33"/>
      <c r="E551" s="33"/>
      <c r="F551" s="113" t="s">
        <v>152</v>
      </c>
      <c r="G551" s="118"/>
      <c r="H551" s="118"/>
      <c r="I551" s="89"/>
      <c r="J551" s="1059">
        <f>J550</f>
        <v>12462.203000000003</v>
      </c>
      <c r="K551" s="1058"/>
      <c r="L551" s="1059"/>
      <c r="M551" s="1551"/>
      <c r="N551" s="2452">
        <f>N554+N556+N560+N564+N566+N571+N572+N569</f>
        <v>25988.120999999999</v>
      </c>
      <c r="O551" s="1990">
        <f>O550</f>
        <v>15466.985000000001</v>
      </c>
      <c r="P551" s="1934">
        <f>P550</f>
        <v>16326.328000000001</v>
      </c>
      <c r="Q551" s="1991">
        <f>Q554+Q556+Q560+Q564</f>
        <v>18236.385000000002</v>
      </c>
      <c r="R551" s="1992">
        <f>R554+R556+R560+R564</f>
        <v>18895.078000000001</v>
      </c>
      <c r="S551" s="84"/>
      <c r="T551" s="84"/>
      <c r="U551" s="84"/>
      <c r="V551" s="2452">
        <f>V554+V556+V560+V564+V566+V571+V572</f>
        <v>23859.657499999998</v>
      </c>
      <c r="W551" s="2523">
        <f>W554+W556+W560+W564+W566+W571+W572</f>
        <v>24871.569820000001</v>
      </c>
      <c r="X551" s="84"/>
      <c r="Z551" s="2141"/>
    </row>
    <row r="552" spans="1:26" s="83" customFormat="1" ht="28.9" hidden="1" customHeight="1" x14ac:dyDescent="0.3">
      <c r="A552" s="85"/>
      <c r="B552" s="49" t="s">
        <v>1063</v>
      </c>
      <c r="C552" s="118"/>
      <c r="D552" s="33"/>
      <c r="E552" s="33"/>
      <c r="F552" s="112" t="s">
        <v>152</v>
      </c>
      <c r="G552" s="119">
        <v>100</v>
      </c>
      <c r="H552" s="118"/>
      <c r="I552" s="89"/>
      <c r="J552" s="1059"/>
      <c r="K552" s="1058"/>
      <c r="L552" s="1059"/>
      <c r="M552" s="1551"/>
      <c r="N552" s="2452">
        <f>N553</f>
        <v>22484.356400000001</v>
      </c>
      <c r="O552" s="1990"/>
      <c r="P552" s="1934"/>
      <c r="Q552" s="1991"/>
      <c r="R552" s="1992"/>
      <c r="S552" s="84"/>
      <c r="T552" s="84"/>
      <c r="U552" s="84"/>
      <c r="V552" s="2452">
        <f t="shared" ref="V552:W552" si="201">V553</f>
        <v>20983.188999999998</v>
      </c>
      <c r="W552" s="2523">
        <f t="shared" si="201"/>
        <v>21822.514999999999</v>
      </c>
      <c r="X552" s="84"/>
      <c r="Z552" s="2141"/>
    </row>
    <row r="553" spans="1:26" s="83" customFormat="1" ht="43.15" customHeight="1" x14ac:dyDescent="0.3">
      <c r="A553" s="85"/>
      <c r="B553" s="2003" t="s">
        <v>7</v>
      </c>
      <c r="C553" s="118"/>
      <c r="D553" s="33"/>
      <c r="E553" s="33"/>
      <c r="F553" s="112" t="s">
        <v>152</v>
      </c>
      <c r="G553" s="119">
        <v>120</v>
      </c>
      <c r="H553" s="119"/>
      <c r="I553" s="89"/>
      <c r="J553" s="1060">
        <f>J554+J556</f>
        <v>8197.5570000000007</v>
      </c>
      <c r="K553" s="1058"/>
      <c r="L553" s="1059">
        <f>L554+L556</f>
        <v>9181.8719999999994</v>
      </c>
      <c r="M553" s="1551">
        <f>M554+M556</f>
        <v>9824.6040000000012</v>
      </c>
      <c r="N553" s="2451">
        <f>N554+N556</f>
        <v>22484.356400000001</v>
      </c>
      <c r="O553" s="1999">
        <f>O554+O556</f>
        <v>9671.2350000000006</v>
      </c>
      <c r="P553" s="1937">
        <f>P554+P556</f>
        <v>10737.36</v>
      </c>
      <c r="Q553" s="2000">
        <f>Q556+Q555+Q554+Q562</f>
        <v>15286.343000000001</v>
      </c>
      <c r="R553" s="2001">
        <f>R556+R555+R554+R562</f>
        <v>15897.791999999999</v>
      </c>
      <c r="S553" s="84"/>
      <c r="T553" s="84"/>
      <c r="U553" s="84"/>
      <c r="V553" s="2451">
        <f>V554+V556</f>
        <v>20983.188999999998</v>
      </c>
      <c r="W553" s="2524">
        <f>W554+W556</f>
        <v>21822.514999999999</v>
      </c>
      <c r="X553" s="84"/>
      <c r="Z553" s="2141"/>
    </row>
    <row r="554" spans="1:26" s="83" customFormat="1" ht="27.65" customHeight="1" x14ac:dyDescent="0.3">
      <c r="A554" s="85"/>
      <c r="B554" s="336" t="s">
        <v>114</v>
      </c>
      <c r="C554" s="118"/>
      <c r="D554" s="33" t="s">
        <v>69</v>
      </c>
      <c r="E554" s="33" t="s">
        <v>112</v>
      </c>
      <c r="F554" s="112" t="s">
        <v>152</v>
      </c>
      <c r="G554" s="119">
        <v>120</v>
      </c>
      <c r="H554" s="9" t="s">
        <v>456</v>
      </c>
      <c r="I554" s="33" t="s">
        <v>495</v>
      </c>
      <c r="J554" s="1060">
        <f>807.519+241.455</f>
        <v>1048.9739999999999</v>
      </c>
      <c r="K554" s="1059"/>
      <c r="L554" s="1061">
        <v>1378.2239999999999</v>
      </c>
      <c r="M554" s="1565">
        <v>1474.6990000000001</v>
      </c>
      <c r="N554" s="2451">
        <f>1105.028+58.258</f>
        <v>1163.2860000000001</v>
      </c>
      <c r="O554" s="1999">
        <v>672.428</v>
      </c>
      <c r="P554" s="1937">
        <v>739.67200000000003</v>
      </c>
      <c r="Q554" s="2000">
        <v>994.03099999999995</v>
      </c>
      <c r="R554" s="2001">
        <v>1033.7919999999999</v>
      </c>
      <c r="S554" s="84"/>
      <c r="T554" s="84"/>
      <c r="U554" s="84"/>
      <c r="V554" s="2451">
        <v>1149.229</v>
      </c>
      <c r="W554" s="2524">
        <v>1195.1980000000001</v>
      </c>
      <c r="X554" s="84"/>
      <c r="Z554" s="2141"/>
    </row>
    <row r="555" spans="1:26" s="83" customFormat="1" ht="26.25" hidden="1" customHeight="1" x14ac:dyDescent="0.3">
      <c r="A555" s="85"/>
      <c r="B555" s="1117" t="s">
        <v>589</v>
      </c>
      <c r="C555" s="118"/>
      <c r="D555" s="33"/>
      <c r="E555" s="33"/>
      <c r="F555" s="112" t="s">
        <v>113</v>
      </c>
      <c r="G555" s="119">
        <v>120</v>
      </c>
      <c r="H555" s="9" t="s">
        <v>456</v>
      </c>
      <c r="I555" s="33" t="s">
        <v>495</v>
      </c>
      <c r="J555" s="1060"/>
      <c r="K555" s="1058"/>
      <c r="L555" s="1062"/>
      <c r="M555" s="1556"/>
      <c r="N555" s="2451">
        <v>0</v>
      </c>
      <c r="O555" s="1999"/>
      <c r="P555" s="1937"/>
      <c r="Q555" s="2000">
        <v>0</v>
      </c>
      <c r="R555" s="2001">
        <v>0</v>
      </c>
      <c r="S555" s="84"/>
      <c r="T555" s="84"/>
      <c r="U555" s="84"/>
      <c r="V555" s="2451">
        <v>0</v>
      </c>
      <c r="W555" s="2524">
        <v>0</v>
      </c>
      <c r="X555" s="84"/>
      <c r="Z555" s="2141"/>
    </row>
    <row r="556" spans="1:26" s="83" customFormat="1" ht="27" customHeight="1" x14ac:dyDescent="0.3">
      <c r="A556" s="32"/>
      <c r="B556" s="2066" t="s">
        <v>105</v>
      </c>
      <c r="C556" s="88"/>
      <c r="D556" s="88" t="s">
        <v>69</v>
      </c>
      <c r="E556" s="88" t="s">
        <v>103</v>
      </c>
      <c r="F556" s="112" t="s">
        <v>152</v>
      </c>
      <c r="G556" s="88">
        <v>120</v>
      </c>
      <c r="H556" s="9" t="s">
        <v>456</v>
      </c>
      <c r="I556" s="33" t="s">
        <v>452</v>
      </c>
      <c r="J556" s="1061">
        <f>5450.283+1.2+1697.1</f>
        <v>7148.5830000000005</v>
      </c>
      <c r="K556" s="1061"/>
      <c r="L556" s="1061">
        <v>7803.6480000000001</v>
      </c>
      <c r="M556" s="1566">
        <v>8349.9050000000007</v>
      </c>
      <c r="N556" s="2448">
        <f>19071.116+785.5514+1464.403</f>
        <v>21321.070400000001</v>
      </c>
      <c r="O556" s="1947">
        <v>8998.8070000000007</v>
      </c>
      <c r="P556" s="1941">
        <v>9997.6880000000001</v>
      </c>
      <c r="Q556" s="1987">
        <v>14292.312</v>
      </c>
      <c r="R556" s="1988">
        <v>14864</v>
      </c>
      <c r="S556" s="2"/>
      <c r="T556" s="2"/>
      <c r="U556" s="2"/>
      <c r="V556" s="2448">
        <v>19833.96</v>
      </c>
      <c r="W556" s="2522">
        <v>20627.316999999999</v>
      </c>
      <c r="X556" s="84"/>
      <c r="Z556" s="2141"/>
    </row>
    <row r="557" spans="1:26" ht="39" customHeight="1" x14ac:dyDescent="0.25">
      <c r="A557" s="32"/>
      <c r="B557" s="724" t="s">
        <v>948</v>
      </c>
      <c r="C557" s="88"/>
      <c r="D557" s="88"/>
      <c r="E557" s="88"/>
      <c r="F557" s="112" t="s">
        <v>152</v>
      </c>
      <c r="G557" s="88">
        <v>200</v>
      </c>
      <c r="H557" s="9"/>
      <c r="I557" s="33"/>
      <c r="J557" s="1061"/>
      <c r="K557" s="1061"/>
      <c r="L557" s="1061"/>
      <c r="M557" s="1566"/>
      <c r="N557" s="2448">
        <f>N558</f>
        <v>3501.7646</v>
      </c>
      <c r="O557" s="1947"/>
      <c r="P557" s="1941"/>
      <c r="Q557" s="1987"/>
      <c r="R557" s="1988"/>
      <c r="V557" s="2448">
        <f t="shared" ref="V557:W557" si="202">V558</f>
        <v>2875.4684999999999</v>
      </c>
      <c r="W557" s="2522">
        <f t="shared" si="202"/>
        <v>3048.0548200000003</v>
      </c>
    </row>
    <row r="558" spans="1:26" ht="39" hidden="1" customHeight="1" x14ac:dyDescent="0.3">
      <c r="A558" s="85"/>
      <c r="B558" s="1993" t="s">
        <v>4</v>
      </c>
      <c r="C558" s="118"/>
      <c r="D558" s="33" t="s">
        <v>69</v>
      </c>
      <c r="E558" s="33" t="s">
        <v>112</v>
      </c>
      <c r="F558" s="112" t="s">
        <v>152</v>
      </c>
      <c r="G558" s="119">
        <v>240</v>
      </c>
      <c r="H558" s="119"/>
      <c r="I558" s="89"/>
      <c r="J558" s="1060">
        <f>J560+J564</f>
        <v>3612.3460000000005</v>
      </c>
      <c r="K558" s="1058"/>
      <c r="L558" s="1058">
        <f t="shared" ref="L558:R558" si="203">L560+L564</f>
        <v>3255.4169999999999</v>
      </c>
      <c r="M558" s="1555">
        <f t="shared" si="203"/>
        <v>3483.2959999999998</v>
      </c>
      <c r="N558" s="2451">
        <f t="shared" si="203"/>
        <v>3501.7646</v>
      </c>
      <c r="O558" s="1999">
        <f t="shared" si="203"/>
        <v>5795.75</v>
      </c>
      <c r="P558" s="1937">
        <f t="shared" si="203"/>
        <v>5588.9679999999998</v>
      </c>
      <c r="Q558" s="2000">
        <f t="shared" si="203"/>
        <v>2950.0419999999999</v>
      </c>
      <c r="R558" s="2001">
        <f t="shared" si="203"/>
        <v>2997.2860000000001</v>
      </c>
      <c r="S558" s="84"/>
      <c r="T558" s="84"/>
      <c r="U558" s="84"/>
      <c r="V558" s="2451">
        <f t="shared" ref="V558:W558" si="204">V560+V564</f>
        <v>2875.4684999999999</v>
      </c>
      <c r="W558" s="2524">
        <f t="shared" si="204"/>
        <v>3048.0548200000003</v>
      </c>
    </row>
    <row r="559" spans="1:26" ht="39" hidden="1" customHeight="1" x14ac:dyDescent="0.3">
      <c r="A559" s="85"/>
      <c r="B559" s="1993" t="s">
        <v>4</v>
      </c>
      <c r="C559" s="118"/>
      <c r="D559" s="33"/>
      <c r="E559" s="33"/>
      <c r="F559" s="112" t="s">
        <v>152</v>
      </c>
      <c r="G559" s="119">
        <v>240</v>
      </c>
      <c r="H559" s="119"/>
      <c r="I559" s="33"/>
      <c r="J559" s="1060">
        <f>J560</f>
        <v>1338.8210000000001</v>
      </c>
      <c r="K559" s="1058"/>
      <c r="L559" s="1058"/>
      <c r="M559" s="1555"/>
      <c r="N559" s="2451">
        <f>N560</f>
        <v>315.43800000000005</v>
      </c>
      <c r="O559" s="1999">
        <f>O560</f>
        <v>1199.08</v>
      </c>
      <c r="P559" s="1937">
        <f>P560</f>
        <v>1171.8689999999999</v>
      </c>
      <c r="Q559" s="2000">
        <f>Q560</f>
        <v>964.28800000000001</v>
      </c>
      <c r="R559" s="2001">
        <f>R560</f>
        <v>1005.98</v>
      </c>
      <c r="S559" s="84"/>
      <c r="T559" s="84"/>
      <c r="U559" s="84"/>
      <c r="V559" s="2451">
        <f>V560</f>
        <v>689.96100000000001</v>
      </c>
      <c r="W559" s="2524">
        <f>W560</f>
        <v>731.41800000000001</v>
      </c>
    </row>
    <row r="560" spans="1:26" ht="40.5" customHeight="1" x14ac:dyDescent="0.3">
      <c r="A560" s="85"/>
      <c r="B560" s="336" t="s">
        <v>114</v>
      </c>
      <c r="C560" s="118"/>
      <c r="D560" s="33"/>
      <c r="E560" s="33"/>
      <c r="F560" s="112" t="s">
        <v>152</v>
      </c>
      <c r="G560" s="119">
        <v>240</v>
      </c>
      <c r="H560" s="9" t="s">
        <v>456</v>
      </c>
      <c r="I560" s="33" t="s">
        <v>495</v>
      </c>
      <c r="J560" s="1060">
        <f>2387.795-1048.974</f>
        <v>1338.8210000000001</v>
      </c>
      <c r="K560" s="1058"/>
      <c r="L560" s="1062">
        <v>906.91</v>
      </c>
      <c r="M560" s="1556">
        <v>970.39300000000003</v>
      </c>
      <c r="N560" s="2451">
        <f>650.85-335.412</f>
        <v>315.43800000000005</v>
      </c>
      <c r="O560" s="1999">
        <v>1199.08</v>
      </c>
      <c r="P560" s="1937">
        <v>1171.8689999999999</v>
      </c>
      <c r="Q560" s="2000">
        <v>964.28800000000001</v>
      </c>
      <c r="R560" s="2001">
        <v>1005.98</v>
      </c>
      <c r="S560" s="84"/>
      <c r="T560" s="84"/>
      <c r="U560" s="84"/>
      <c r="V560" s="2451">
        <v>689.96100000000001</v>
      </c>
      <c r="W560" s="2524">
        <v>731.41800000000001</v>
      </c>
    </row>
    <row r="561" spans="1:256" ht="19" hidden="1" customHeight="1" x14ac:dyDescent="0.3">
      <c r="A561" s="85"/>
      <c r="B561" s="2985" t="s">
        <v>94</v>
      </c>
      <c r="C561" s="118"/>
      <c r="D561" s="33"/>
      <c r="E561" s="33"/>
      <c r="F561" s="112" t="s">
        <v>152</v>
      </c>
      <c r="G561" s="119">
        <v>850</v>
      </c>
      <c r="H561" s="9" t="s">
        <v>456</v>
      </c>
      <c r="I561" s="33" t="s">
        <v>495</v>
      </c>
      <c r="J561" s="1060"/>
      <c r="K561" s="1058"/>
      <c r="L561" s="1062"/>
      <c r="M561" s="1556"/>
      <c r="N561" s="2451"/>
      <c r="O561" s="1999"/>
      <c r="P561" s="1937"/>
      <c r="Q561" s="2000"/>
      <c r="R561" s="2001"/>
      <c r="S561" s="84"/>
      <c r="T561" s="84"/>
      <c r="U561" s="84"/>
      <c r="V561" s="2451"/>
      <c r="W561" s="2524"/>
    </row>
    <row r="562" spans="1:256" ht="0.75" customHeight="1" x14ac:dyDescent="0.3">
      <c r="A562" s="85"/>
      <c r="B562" s="336" t="s">
        <v>571</v>
      </c>
      <c r="C562" s="118"/>
      <c r="D562" s="33"/>
      <c r="E562" s="33"/>
      <c r="F562" s="112" t="s">
        <v>113</v>
      </c>
      <c r="G562" s="119">
        <v>120</v>
      </c>
      <c r="H562" s="9" t="s">
        <v>456</v>
      </c>
      <c r="I562" s="33" t="s">
        <v>495</v>
      </c>
      <c r="J562" s="1060"/>
      <c r="K562" s="1058"/>
      <c r="L562" s="1062"/>
      <c r="M562" s="1556"/>
      <c r="N562" s="2451"/>
      <c r="O562" s="1999"/>
      <c r="P562" s="1937"/>
      <c r="Q562" s="2000">
        <v>0</v>
      </c>
      <c r="R562" s="2001">
        <v>0</v>
      </c>
      <c r="S562" s="84"/>
      <c r="T562" s="84"/>
      <c r="U562" s="84"/>
      <c r="V562" s="2451"/>
      <c r="W562" s="2524"/>
    </row>
    <row r="563" spans="1:256" ht="0.75" customHeight="1" x14ac:dyDescent="0.3">
      <c r="A563" s="85"/>
      <c r="B563" s="1993" t="s">
        <v>4</v>
      </c>
      <c r="C563" s="118"/>
      <c r="D563" s="33"/>
      <c r="E563" s="33"/>
      <c r="F563" s="112" t="s">
        <v>152</v>
      </c>
      <c r="G563" s="88">
        <v>240</v>
      </c>
      <c r="H563" s="88"/>
      <c r="I563" s="88"/>
      <c r="J563" s="1061">
        <f>J564</f>
        <v>2273.5250000000001</v>
      </c>
      <c r="K563" s="1058"/>
      <c r="L563" s="1062"/>
      <c r="M563" s="1556"/>
      <c r="N563" s="2448"/>
      <c r="O563" s="1947">
        <f>O564</f>
        <v>4596.67</v>
      </c>
      <c r="P563" s="1941">
        <f>P564</f>
        <v>4417.0990000000002</v>
      </c>
      <c r="Q563" s="1987">
        <f>Q564</f>
        <v>1985.7539999999999</v>
      </c>
      <c r="R563" s="1988">
        <f>R564</f>
        <v>1991.306</v>
      </c>
      <c r="S563" s="84"/>
      <c r="T563" s="84"/>
      <c r="U563" s="84"/>
      <c r="V563" s="2448"/>
      <c r="W563" s="2522"/>
    </row>
    <row r="564" spans="1:256" ht="24.65" customHeight="1" x14ac:dyDescent="0.3">
      <c r="A564" s="32"/>
      <c r="B564" s="2012" t="s">
        <v>105</v>
      </c>
      <c r="C564" s="88"/>
      <c r="D564" s="88" t="s">
        <v>69</v>
      </c>
      <c r="E564" s="88" t="s">
        <v>103</v>
      </c>
      <c r="F564" s="112" t="s">
        <v>152</v>
      </c>
      <c r="G564" s="88">
        <v>240</v>
      </c>
      <c r="H564" s="9" t="s">
        <v>456</v>
      </c>
      <c r="I564" s="33" t="s">
        <v>452</v>
      </c>
      <c r="J564" s="1061">
        <v>2273.5250000000001</v>
      </c>
      <c r="K564" s="1061"/>
      <c r="L564" s="1118">
        <v>2348.5070000000001</v>
      </c>
      <c r="M564" s="1567">
        <v>2512.9029999999998</v>
      </c>
      <c r="N564" s="2448">
        <f>2900.435-449.976-309.8-62.911-1-785.5514+1895.13</f>
        <v>3186.3265999999999</v>
      </c>
      <c r="O564" s="1947">
        <v>4596.67</v>
      </c>
      <c r="P564" s="1941">
        <v>4417.0990000000002</v>
      </c>
      <c r="Q564" s="1987">
        <v>1985.7539999999999</v>
      </c>
      <c r="R564" s="1988">
        <v>1991.306</v>
      </c>
      <c r="V564" s="2448">
        <v>2185.5075000000002</v>
      </c>
      <c r="W564" s="2522">
        <v>2316.6368200000002</v>
      </c>
    </row>
    <row r="565" spans="1:256" ht="21" hidden="1" customHeight="1" x14ac:dyDescent="0.25">
      <c r="A565" s="32"/>
      <c r="B565" s="2067" t="s">
        <v>97</v>
      </c>
      <c r="C565" s="88"/>
      <c r="D565" s="88"/>
      <c r="E565" s="88"/>
      <c r="F565" s="112" t="s">
        <v>152</v>
      </c>
      <c r="G565" s="119">
        <v>830</v>
      </c>
      <c r="H565" s="9"/>
      <c r="I565" s="33"/>
      <c r="J565" s="1061"/>
      <c r="K565" s="1061"/>
      <c r="L565" s="1118"/>
      <c r="M565" s="1567"/>
      <c r="N565" s="2448">
        <f>N566</f>
        <v>0</v>
      </c>
      <c r="O565" s="1947"/>
      <c r="P565" s="1941"/>
      <c r="Q565" s="1987"/>
      <c r="R565" s="1988"/>
      <c r="V565" s="2448">
        <f>V566</f>
        <v>0</v>
      </c>
      <c r="W565" s="2522">
        <f>W566</f>
        <v>0</v>
      </c>
    </row>
    <row r="566" spans="1:256" ht="21" hidden="1" customHeight="1" x14ac:dyDescent="0.3">
      <c r="A566" s="32"/>
      <c r="B566" s="336" t="s">
        <v>114</v>
      </c>
      <c r="C566" s="88"/>
      <c r="D566" s="88"/>
      <c r="E566" s="88"/>
      <c r="F566" s="112" t="s">
        <v>152</v>
      </c>
      <c r="G566" s="119">
        <v>830</v>
      </c>
      <c r="H566" s="9" t="s">
        <v>456</v>
      </c>
      <c r="I566" s="33" t="s">
        <v>495</v>
      </c>
      <c r="J566" s="1061"/>
      <c r="K566" s="1061"/>
      <c r="L566" s="1118"/>
      <c r="M566" s="1567"/>
      <c r="N566" s="2448"/>
      <c r="O566" s="1947"/>
      <c r="P566" s="1941"/>
      <c r="Q566" s="1987"/>
      <c r="R566" s="1988"/>
      <c r="V566" s="2448"/>
      <c r="W566" s="2522"/>
    </row>
    <row r="567" spans="1:256" ht="13" x14ac:dyDescent="0.25">
      <c r="A567" s="32"/>
      <c r="B567" s="2163" t="s">
        <v>1065</v>
      </c>
      <c r="C567" s="88"/>
      <c r="D567" s="88"/>
      <c r="E567" s="88"/>
      <c r="F567" s="112" t="s">
        <v>152</v>
      </c>
      <c r="G567" s="119">
        <v>800</v>
      </c>
      <c r="H567" s="9"/>
      <c r="I567" s="33"/>
      <c r="J567" s="1061"/>
      <c r="K567" s="1061"/>
      <c r="L567" s="1118"/>
      <c r="M567" s="1567"/>
      <c r="N567" s="2448">
        <f>N570+N568</f>
        <v>2</v>
      </c>
      <c r="O567" s="2422"/>
      <c r="P567" s="2423"/>
      <c r="Q567" s="2424"/>
      <c r="R567" s="2425"/>
      <c r="S567" s="2426"/>
      <c r="T567" s="2426"/>
      <c r="U567" s="2426"/>
      <c r="V567" s="2448">
        <f t="shared" ref="V567:W567" si="205">V570</f>
        <v>1</v>
      </c>
      <c r="W567" s="2522">
        <f t="shared" si="205"/>
        <v>1</v>
      </c>
    </row>
    <row r="568" spans="1:256" ht="13" x14ac:dyDescent="0.25">
      <c r="A568" s="32"/>
      <c r="B568" s="2163" t="s">
        <v>1003</v>
      </c>
      <c r="C568" s="88"/>
      <c r="D568" s="88"/>
      <c r="E568" s="88"/>
      <c r="F568" s="112" t="s">
        <v>152</v>
      </c>
      <c r="G568" s="119">
        <v>830</v>
      </c>
      <c r="H568" s="9"/>
      <c r="I568" s="33"/>
      <c r="J568" s="1061"/>
      <c r="K568" s="1061"/>
      <c r="L568" s="1118"/>
      <c r="M568" s="1567"/>
      <c r="N568" s="2448">
        <f>N569</f>
        <v>0.5</v>
      </c>
      <c r="O568" s="2422"/>
      <c r="P568" s="2423"/>
      <c r="Q568" s="2424"/>
      <c r="R568" s="2425"/>
      <c r="S568" s="2426"/>
      <c r="T568" s="2426"/>
      <c r="U568" s="2426"/>
      <c r="V568" s="2448">
        <f>V569</f>
        <v>0</v>
      </c>
      <c r="W568" s="2522">
        <f>W569</f>
        <v>0</v>
      </c>
    </row>
    <row r="569" spans="1:256" ht="39" x14ac:dyDescent="0.25">
      <c r="A569" s="32"/>
      <c r="B569" s="2163" t="s">
        <v>114</v>
      </c>
      <c r="C569" s="88"/>
      <c r="D569" s="88"/>
      <c r="E569" s="88"/>
      <c r="F569" s="112" t="s">
        <v>152</v>
      </c>
      <c r="G569" s="119">
        <v>830</v>
      </c>
      <c r="H569" s="9" t="s">
        <v>456</v>
      </c>
      <c r="I569" s="33" t="s">
        <v>495</v>
      </c>
      <c r="J569" s="1061"/>
      <c r="K569" s="1061"/>
      <c r="L569" s="1118"/>
      <c r="M569" s="1567"/>
      <c r="N569" s="2448">
        <v>0.5</v>
      </c>
      <c r="O569" s="2422"/>
      <c r="P569" s="2423"/>
      <c r="Q569" s="2424"/>
      <c r="R569" s="2425"/>
      <c r="S569" s="2426"/>
      <c r="T569" s="2426"/>
      <c r="U569" s="2426"/>
      <c r="V569" s="2448">
        <v>0</v>
      </c>
      <c r="W569" s="2522">
        <v>0</v>
      </c>
    </row>
    <row r="570" spans="1:256" ht="13" x14ac:dyDescent="0.25">
      <c r="A570" s="32"/>
      <c r="B570" s="2985" t="s">
        <v>94</v>
      </c>
      <c r="C570" s="88"/>
      <c r="D570" s="88"/>
      <c r="E570" s="88"/>
      <c r="F570" s="112" t="s">
        <v>152</v>
      </c>
      <c r="G570" s="119">
        <v>850</v>
      </c>
      <c r="H570" s="9"/>
      <c r="I570" s="33"/>
      <c r="J570" s="1061"/>
      <c r="K570" s="1061"/>
      <c r="L570" s="1118"/>
      <c r="M570" s="1567"/>
      <c r="N570" s="2448">
        <f>N571+N572</f>
        <v>1.5</v>
      </c>
      <c r="O570" s="2422"/>
      <c r="P570" s="2423"/>
      <c r="Q570" s="2424">
        <f>Q571+Q572</f>
        <v>0</v>
      </c>
      <c r="R570" s="2425">
        <f>R571+R572</f>
        <v>0</v>
      </c>
      <c r="S570" s="2426"/>
      <c r="T570" s="2426"/>
      <c r="U570" s="2426"/>
      <c r="V570" s="2448">
        <f>V571+V572</f>
        <v>1</v>
      </c>
      <c r="W570" s="2522">
        <f>W571+W572</f>
        <v>1</v>
      </c>
    </row>
    <row r="571" spans="1:256" ht="39" x14ac:dyDescent="0.3">
      <c r="A571" s="32"/>
      <c r="B571" s="336" t="s">
        <v>114</v>
      </c>
      <c r="C571" s="118"/>
      <c r="D571" s="33"/>
      <c r="E571" s="33"/>
      <c r="F571" s="112" t="s">
        <v>152</v>
      </c>
      <c r="G571" s="119">
        <v>850</v>
      </c>
      <c r="H571" s="9" t="s">
        <v>456</v>
      </c>
      <c r="I571" s="33" t="s">
        <v>495</v>
      </c>
      <c r="J571" s="1060"/>
      <c r="K571" s="1058"/>
      <c r="L571" s="1062"/>
      <c r="M571" s="1556"/>
      <c r="N571" s="2451">
        <v>0.5</v>
      </c>
      <c r="O571" s="2422"/>
      <c r="P571" s="2423"/>
      <c r="Q571" s="2427"/>
      <c r="R571" s="2428"/>
      <c r="S571" s="2426"/>
      <c r="T571" s="2426"/>
      <c r="U571" s="2426"/>
      <c r="V571" s="2451">
        <v>1</v>
      </c>
      <c r="W571" s="2524">
        <v>1</v>
      </c>
    </row>
    <row r="572" spans="1:256" s="2" customFormat="1" ht="39" x14ac:dyDescent="0.3">
      <c r="A572" s="32"/>
      <c r="B572" s="2012" t="s">
        <v>105</v>
      </c>
      <c r="C572" s="88"/>
      <c r="D572" s="88"/>
      <c r="E572" s="88"/>
      <c r="F572" s="112" t="s">
        <v>152</v>
      </c>
      <c r="G572" s="88">
        <v>850</v>
      </c>
      <c r="H572" s="9" t="s">
        <v>456</v>
      </c>
      <c r="I572" s="33" t="s">
        <v>452</v>
      </c>
      <c r="J572" s="1061"/>
      <c r="K572" s="1061"/>
      <c r="L572" s="1061"/>
      <c r="M572" s="1125"/>
      <c r="N572" s="2448">
        <v>1</v>
      </c>
      <c r="O572" s="2422"/>
      <c r="P572" s="2423"/>
      <c r="Q572" s="2424"/>
      <c r="R572" s="2425"/>
      <c r="S572" s="2426"/>
      <c r="T572" s="2426"/>
      <c r="U572" s="2426"/>
      <c r="V572" s="2448">
        <v>0</v>
      </c>
      <c r="W572" s="2522">
        <v>0</v>
      </c>
      <c r="Y572" s="1"/>
      <c r="Z572" s="237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spans="1:256" s="2" customFormat="1" ht="13" hidden="1" x14ac:dyDescent="0.3">
      <c r="A573" s="32"/>
      <c r="B573" s="2003" t="s">
        <v>16</v>
      </c>
      <c r="C573" s="88"/>
      <c r="D573" s="88" t="s">
        <v>69</v>
      </c>
      <c r="E573" s="88" t="s">
        <v>103</v>
      </c>
      <c r="F573" s="88">
        <v>9100004</v>
      </c>
      <c r="G573" s="88">
        <v>240</v>
      </c>
      <c r="H573" s="88"/>
      <c r="I573" s="88" t="s">
        <v>103</v>
      </c>
      <c r="J573" s="1061">
        <v>2215.5729999999999</v>
      </c>
      <c r="K573" s="1061"/>
      <c r="L573" s="1061">
        <f>J573*106%</f>
        <v>2348.50738</v>
      </c>
      <c r="M573" s="1125">
        <f>L573*107%</f>
        <v>2512.9028966000001</v>
      </c>
      <c r="N573" s="2448">
        <v>2215.5729999999999</v>
      </c>
      <c r="O573" s="1947">
        <v>2215.5729999999999</v>
      </c>
      <c r="P573" s="1941">
        <v>2215.5729999999999</v>
      </c>
      <c r="Q573" s="1987">
        <v>2215.5729999999999</v>
      </c>
      <c r="R573" s="1988">
        <v>2215.5729999999999</v>
      </c>
      <c r="V573" s="2448">
        <v>2215.5729999999999</v>
      </c>
      <c r="W573" s="2522">
        <v>2215.5729999999999</v>
      </c>
      <c r="Y573" s="1"/>
      <c r="Z573" s="237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spans="1:256" s="2" customFormat="1" ht="13" hidden="1" x14ac:dyDescent="0.3">
      <c r="A574" s="32"/>
      <c r="B574" s="2003"/>
      <c r="C574" s="88"/>
      <c r="D574" s="88"/>
      <c r="E574" s="88"/>
      <c r="F574" s="88"/>
      <c r="G574" s="88"/>
      <c r="H574" s="88"/>
      <c r="I574" s="88"/>
      <c r="J574" s="1061"/>
      <c r="K574" s="1061"/>
      <c r="L574" s="1061"/>
      <c r="M574" s="1125"/>
      <c r="N574" s="2448"/>
      <c r="O574" s="1947"/>
      <c r="P574" s="1941"/>
      <c r="Q574" s="1987"/>
      <c r="R574" s="1988"/>
      <c r="V574" s="2448"/>
      <c r="W574" s="2522"/>
      <c r="Y574" s="1"/>
      <c r="Z574" s="237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1:256" s="2" customFormat="1" ht="13" hidden="1" x14ac:dyDescent="0.3">
      <c r="A575" s="32"/>
      <c r="B575" s="2003"/>
      <c r="C575" s="88"/>
      <c r="D575" s="88"/>
      <c r="E575" s="88"/>
      <c r="F575" s="88">
        <v>9100004</v>
      </c>
      <c r="G575" s="88"/>
      <c r="H575" s="88"/>
      <c r="I575" s="88" t="s">
        <v>103</v>
      </c>
      <c r="J575" s="1061" t="e">
        <f>#REF!+J564</f>
        <v>#REF!</v>
      </c>
      <c r="K575" s="1061"/>
      <c r="L575" s="1061" t="e">
        <f>#REF!+L564</f>
        <v>#REF!</v>
      </c>
      <c r="M575" s="1125" t="e">
        <f>#REF!+M564</f>
        <v>#REF!</v>
      </c>
      <c r="N575" s="2448" t="e">
        <f>#REF!+N564</f>
        <v>#REF!</v>
      </c>
      <c r="O575" s="1947" t="e">
        <f>#REF!+O564</f>
        <v>#REF!</v>
      </c>
      <c r="P575" s="1941" t="e">
        <f>#REF!+P564</f>
        <v>#REF!</v>
      </c>
      <c r="Q575" s="1987" t="e">
        <f>#REF!+Q564</f>
        <v>#REF!</v>
      </c>
      <c r="R575" s="1988" t="e">
        <f>#REF!+R564</f>
        <v>#REF!</v>
      </c>
      <c r="V575" s="2448" t="e">
        <f>#REF!+V564</f>
        <v>#REF!</v>
      </c>
      <c r="W575" s="2522" t="e">
        <f>#REF!+W564</f>
        <v>#REF!</v>
      </c>
      <c r="Y575" s="1"/>
      <c r="Z575" s="237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1:256" s="2" customFormat="1" ht="39" x14ac:dyDescent="0.3">
      <c r="A576" s="32"/>
      <c r="B576" s="336" t="s">
        <v>151</v>
      </c>
      <c r="C576" s="88"/>
      <c r="D576" s="88"/>
      <c r="E576" s="88"/>
      <c r="F576" s="113" t="s">
        <v>623</v>
      </c>
      <c r="G576" s="94"/>
      <c r="H576" s="94"/>
      <c r="I576" s="94"/>
      <c r="J576" s="1064">
        <f>J578</f>
        <v>179.7</v>
      </c>
      <c r="K576" s="1064"/>
      <c r="L576" s="1064"/>
      <c r="M576" s="1552"/>
      <c r="N576" s="2450">
        <f>N578</f>
        <v>62.911000000000001</v>
      </c>
      <c r="O576" s="2429">
        <f>O578</f>
        <v>0</v>
      </c>
      <c r="P576" s="2430">
        <f>P578</f>
        <v>0</v>
      </c>
      <c r="Q576" s="2431">
        <f>Q578</f>
        <v>0</v>
      </c>
      <c r="R576" s="2432">
        <f>R578</f>
        <v>0</v>
      </c>
      <c r="S576" s="2426"/>
      <c r="T576" s="2426"/>
      <c r="U576" s="2426"/>
      <c r="V576" s="2450">
        <f>V578</f>
        <v>0</v>
      </c>
      <c r="W576" s="2521">
        <f>W578</f>
        <v>0</v>
      </c>
      <c r="Y576" s="1"/>
      <c r="Z576" s="237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spans="1:256" s="2" customFormat="1" ht="13" x14ac:dyDescent="0.3">
      <c r="A577" s="32"/>
      <c r="B577" s="336" t="s">
        <v>1069</v>
      </c>
      <c r="C577" s="88"/>
      <c r="D577" s="88"/>
      <c r="E577" s="88"/>
      <c r="F577" s="112" t="s">
        <v>623</v>
      </c>
      <c r="G577" s="88">
        <v>500</v>
      </c>
      <c r="H577" s="94"/>
      <c r="I577" s="94"/>
      <c r="J577" s="1064"/>
      <c r="K577" s="1064"/>
      <c r="L577" s="1064"/>
      <c r="M577" s="1552"/>
      <c r="N577" s="2450">
        <f>N578</f>
        <v>62.911000000000001</v>
      </c>
      <c r="O577" s="2429"/>
      <c r="P577" s="2430"/>
      <c r="Q577" s="2431"/>
      <c r="R577" s="2432"/>
      <c r="S577" s="2426"/>
      <c r="T577" s="2426"/>
      <c r="U577" s="2426"/>
      <c r="V577" s="2450">
        <f>V578</f>
        <v>0</v>
      </c>
      <c r="W577" s="2521">
        <f>W578</f>
        <v>0</v>
      </c>
      <c r="Y577" s="1"/>
      <c r="Z577" s="237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spans="1:256" s="2" customFormat="1" ht="13" x14ac:dyDescent="0.3">
      <c r="A578" s="32"/>
      <c r="B578" s="336" t="s">
        <v>123</v>
      </c>
      <c r="C578" s="88"/>
      <c r="D578" s="88"/>
      <c r="E578" s="88"/>
      <c r="F578" s="112" t="s">
        <v>623</v>
      </c>
      <c r="G578" s="88">
        <v>540</v>
      </c>
      <c r="H578" s="88"/>
      <c r="I578" s="88"/>
      <c r="J578" s="1061">
        <f>J579</f>
        <v>179.7</v>
      </c>
      <c r="K578" s="1061"/>
      <c r="L578" s="1061"/>
      <c r="M578" s="1125"/>
      <c r="N578" s="2448">
        <f>N579</f>
        <v>62.911000000000001</v>
      </c>
      <c r="O578" s="2422">
        <f t="shared" ref="O578:R578" si="206">O579</f>
        <v>0</v>
      </c>
      <c r="P578" s="2423">
        <f t="shared" si="206"/>
        <v>0</v>
      </c>
      <c r="Q578" s="2424">
        <f t="shared" si="206"/>
        <v>0</v>
      </c>
      <c r="R578" s="2425">
        <f t="shared" si="206"/>
        <v>0</v>
      </c>
      <c r="S578" s="2426"/>
      <c r="T578" s="2426"/>
      <c r="U578" s="2426"/>
      <c r="V578" s="2448">
        <f t="shared" ref="V578:W578" si="207">V579</f>
        <v>0</v>
      </c>
      <c r="W578" s="2522">
        <f t="shared" si="207"/>
        <v>0</v>
      </c>
      <c r="Y578" s="1"/>
      <c r="Z578" s="237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spans="1:256" s="2" customFormat="1" ht="39" x14ac:dyDescent="0.3">
      <c r="A579" s="32"/>
      <c r="B579" s="2066" t="s">
        <v>105</v>
      </c>
      <c r="C579" s="88"/>
      <c r="D579" s="88"/>
      <c r="E579" s="88"/>
      <c r="F579" s="112" t="s">
        <v>623</v>
      </c>
      <c r="G579" s="88">
        <v>540</v>
      </c>
      <c r="H579" s="9" t="s">
        <v>456</v>
      </c>
      <c r="I579" s="33" t="s">
        <v>452</v>
      </c>
      <c r="J579" s="1061">
        <v>179.7</v>
      </c>
      <c r="K579" s="1061"/>
      <c r="L579" s="1061"/>
      <c r="M579" s="1125"/>
      <c r="N579" s="2448">
        <v>62.911000000000001</v>
      </c>
      <c r="O579" s="2422"/>
      <c r="P579" s="2423"/>
      <c r="Q579" s="2424"/>
      <c r="R579" s="2425"/>
      <c r="S579" s="2426"/>
      <c r="T579" s="2426"/>
      <c r="U579" s="2426"/>
      <c r="V579" s="2448">
        <v>0</v>
      </c>
      <c r="W579" s="2522">
        <v>0</v>
      </c>
      <c r="Y579" s="1"/>
      <c r="Z579" s="237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 s="2" customFormat="1" ht="39" x14ac:dyDescent="0.25">
      <c r="A580" s="32"/>
      <c r="B580" s="1119" t="s">
        <v>149</v>
      </c>
      <c r="C580" s="88"/>
      <c r="D580" s="88"/>
      <c r="E580" s="88"/>
      <c r="F580" s="113" t="s">
        <v>148</v>
      </c>
      <c r="G580" s="94"/>
      <c r="H580" s="94"/>
      <c r="I580" s="94"/>
      <c r="J580" s="1064">
        <f>J582</f>
        <v>303</v>
      </c>
      <c r="K580" s="1064"/>
      <c r="L580" s="1064"/>
      <c r="M580" s="1552"/>
      <c r="N580" s="2450">
        <f>N582</f>
        <v>309.8</v>
      </c>
      <c r="O580" s="2429">
        <f>O582</f>
        <v>0</v>
      </c>
      <c r="P580" s="2430">
        <f>P582</f>
        <v>0</v>
      </c>
      <c r="Q580" s="2431">
        <f>Q582</f>
        <v>0</v>
      </c>
      <c r="R580" s="2432">
        <f>R582</f>
        <v>0</v>
      </c>
      <c r="S580" s="2426"/>
      <c r="T580" s="2426"/>
      <c r="U580" s="2426"/>
      <c r="V580" s="2450">
        <f>V582</f>
        <v>0</v>
      </c>
      <c r="W580" s="2521">
        <f>W582</f>
        <v>0</v>
      </c>
      <c r="Y580" s="1"/>
      <c r="Z580" s="237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 s="2" customFormat="1" ht="13" x14ac:dyDescent="0.25">
      <c r="A581" s="32"/>
      <c r="B581" s="1119" t="s">
        <v>1069</v>
      </c>
      <c r="C581" s="88"/>
      <c r="D581" s="88"/>
      <c r="E581" s="88"/>
      <c r="F581" s="112" t="s">
        <v>148</v>
      </c>
      <c r="G581" s="88">
        <v>500</v>
      </c>
      <c r="H581" s="94"/>
      <c r="I581" s="94"/>
      <c r="J581" s="1064"/>
      <c r="K581" s="1064"/>
      <c r="L581" s="1064"/>
      <c r="M581" s="1552"/>
      <c r="N581" s="2448">
        <f>N582</f>
        <v>309.8</v>
      </c>
      <c r="O581" s="2429"/>
      <c r="P581" s="2430"/>
      <c r="Q581" s="2431"/>
      <c r="R581" s="2432"/>
      <c r="S581" s="2426"/>
      <c r="T581" s="2426"/>
      <c r="U581" s="2426"/>
      <c r="V581" s="2450"/>
      <c r="W581" s="2521"/>
      <c r="Y581" s="1"/>
      <c r="Z581" s="237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 s="2" customFormat="1" ht="13" x14ac:dyDescent="0.25">
      <c r="A582" s="32"/>
      <c r="B582" s="1119" t="s">
        <v>130</v>
      </c>
      <c r="C582" s="88"/>
      <c r="D582" s="88"/>
      <c r="E582" s="88"/>
      <c r="F582" s="112" t="s">
        <v>148</v>
      </c>
      <c r="G582" s="88">
        <v>540</v>
      </c>
      <c r="H582" s="88"/>
      <c r="I582" s="88"/>
      <c r="J582" s="1061">
        <f>J583</f>
        <v>303</v>
      </c>
      <c r="K582" s="1061"/>
      <c r="L582" s="1061"/>
      <c r="M582" s="1125"/>
      <c r="N582" s="2448">
        <f t="shared" ref="N582:R582" si="208">N583</f>
        <v>309.8</v>
      </c>
      <c r="O582" s="2422">
        <f t="shared" si="208"/>
        <v>0</v>
      </c>
      <c r="P582" s="2423">
        <f t="shared" si="208"/>
        <v>0</v>
      </c>
      <c r="Q582" s="2424">
        <f t="shared" si="208"/>
        <v>0</v>
      </c>
      <c r="R582" s="2425">
        <f t="shared" si="208"/>
        <v>0</v>
      </c>
      <c r="S582" s="2426"/>
      <c r="T582" s="2426"/>
      <c r="U582" s="2426"/>
      <c r="V582" s="2448">
        <f t="shared" ref="V582:W582" si="209">V583</f>
        <v>0</v>
      </c>
      <c r="W582" s="2522">
        <f t="shared" si="209"/>
        <v>0</v>
      </c>
      <c r="Y582" s="1"/>
      <c r="Z582" s="237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s="2" customFormat="1" ht="37" customHeight="1" x14ac:dyDescent="0.3">
      <c r="A583" s="32"/>
      <c r="B583" s="2066" t="s">
        <v>105</v>
      </c>
      <c r="C583" s="88"/>
      <c r="D583" s="88"/>
      <c r="E583" s="88"/>
      <c r="F583" s="112" t="s">
        <v>148</v>
      </c>
      <c r="G583" s="88">
        <v>540</v>
      </c>
      <c r="H583" s="9" t="s">
        <v>456</v>
      </c>
      <c r="I583" s="33" t="s">
        <v>452</v>
      </c>
      <c r="J583" s="1061">
        <v>303</v>
      </c>
      <c r="K583" s="1061"/>
      <c r="L583" s="1061"/>
      <c r="M583" s="1125"/>
      <c r="N583" s="2448">
        <v>309.8</v>
      </c>
      <c r="O583" s="2422"/>
      <c r="P583" s="2423"/>
      <c r="Q583" s="2424"/>
      <c r="R583" s="2425"/>
      <c r="S583" s="2426"/>
      <c r="T583" s="2426"/>
      <c r="U583" s="2426"/>
      <c r="V583" s="2448">
        <v>0</v>
      </c>
      <c r="W583" s="2522">
        <v>0</v>
      </c>
      <c r="Y583" s="1"/>
      <c r="Z583" s="237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s="2" customFormat="1" ht="39" hidden="1" x14ac:dyDescent="0.25">
      <c r="A584" s="32"/>
      <c r="B584" s="1098" t="s">
        <v>147</v>
      </c>
      <c r="C584" s="88"/>
      <c r="D584" s="88"/>
      <c r="E584" s="88"/>
      <c r="F584" s="112" t="s">
        <v>146</v>
      </c>
      <c r="G584" s="88">
        <v>540</v>
      </c>
      <c r="H584" s="88"/>
      <c r="I584" s="88"/>
      <c r="J584" s="1061"/>
      <c r="K584" s="1061"/>
      <c r="L584" s="1061"/>
      <c r="M584" s="1125"/>
      <c r="N584" s="2448"/>
      <c r="O584" s="2422"/>
      <c r="P584" s="2423"/>
      <c r="Q584" s="2424"/>
      <c r="R584" s="2425"/>
      <c r="S584" s="2426"/>
      <c r="T584" s="2426"/>
      <c r="U584" s="2426"/>
      <c r="V584" s="2448"/>
      <c r="W584" s="2522"/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ht="39" hidden="1" x14ac:dyDescent="0.3">
      <c r="A585" s="32"/>
      <c r="B585" s="2066" t="s">
        <v>105</v>
      </c>
      <c r="C585" s="88"/>
      <c r="D585" s="88"/>
      <c r="E585" s="88"/>
      <c r="F585" s="112" t="s">
        <v>146</v>
      </c>
      <c r="G585" s="88">
        <v>540</v>
      </c>
      <c r="H585" s="88"/>
      <c r="I585" s="88" t="s">
        <v>103</v>
      </c>
      <c r="J585" s="1061"/>
      <c r="K585" s="1061"/>
      <c r="L585" s="1061"/>
      <c r="M585" s="1125"/>
      <c r="N585" s="2448"/>
      <c r="O585" s="2422"/>
      <c r="P585" s="2423"/>
      <c r="Q585" s="2424"/>
      <c r="R585" s="2425"/>
      <c r="S585" s="2426"/>
      <c r="T585" s="2426"/>
      <c r="U585" s="2426"/>
      <c r="V585" s="2448"/>
      <c r="W585" s="2522"/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ht="52" hidden="1" x14ac:dyDescent="0.25">
      <c r="A586" s="32"/>
      <c r="B586" s="1120" t="s">
        <v>145</v>
      </c>
      <c r="C586" s="88"/>
      <c r="D586" s="88"/>
      <c r="E586" s="88"/>
      <c r="F586" s="113" t="s">
        <v>144</v>
      </c>
      <c r="G586" s="94"/>
      <c r="H586" s="94"/>
      <c r="I586" s="94"/>
      <c r="J586" s="1064">
        <f>J587</f>
        <v>169.6</v>
      </c>
      <c r="K586" s="1064"/>
      <c r="L586" s="1064"/>
      <c r="M586" s="1552"/>
      <c r="N586" s="2450">
        <f t="shared" ref="N586:R587" si="210">N587</f>
        <v>0</v>
      </c>
      <c r="O586" s="2429">
        <f t="shared" si="210"/>
        <v>0</v>
      </c>
      <c r="P586" s="2430">
        <f t="shared" si="210"/>
        <v>0</v>
      </c>
      <c r="Q586" s="2431">
        <f t="shared" si="210"/>
        <v>0</v>
      </c>
      <c r="R586" s="2432">
        <f t="shared" si="210"/>
        <v>0</v>
      </c>
      <c r="S586" s="2426"/>
      <c r="T586" s="2426"/>
      <c r="U586" s="2426"/>
      <c r="V586" s="2450">
        <f t="shared" ref="V586:W587" si="211">V587</f>
        <v>0</v>
      </c>
      <c r="W586" s="2521">
        <f t="shared" si="211"/>
        <v>0</v>
      </c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ht="13" hidden="1" x14ac:dyDescent="0.25">
      <c r="A587" s="32"/>
      <c r="B587" s="1120" t="s">
        <v>130</v>
      </c>
      <c r="C587" s="88"/>
      <c r="D587" s="88"/>
      <c r="E587" s="88"/>
      <c r="F587" s="112" t="s">
        <v>144</v>
      </c>
      <c r="G587" s="88">
        <v>540</v>
      </c>
      <c r="H587" s="88"/>
      <c r="I587" s="88"/>
      <c r="J587" s="1061">
        <f>J588</f>
        <v>169.6</v>
      </c>
      <c r="K587" s="1061"/>
      <c r="L587" s="1061"/>
      <c r="M587" s="1125"/>
      <c r="N587" s="2448">
        <f t="shared" si="210"/>
        <v>0</v>
      </c>
      <c r="O587" s="2422">
        <f t="shared" si="210"/>
        <v>0</v>
      </c>
      <c r="P587" s="2423">
        <f t="shared" si="210"/>
        <v>0</v>
      </c>
      <c r="Q587" s="2424">
        <f t="shared" si="210"/>
        <v>0</v>
      </c>
      <c r="R587" s="2425">
        <f t="shared" si="210"/>
        <v>0</v>
      </c>
      <c r="S587" s="2426"/>
      <c r="T587" s="2426"/>
      <c r="U587" s="2426"/>
      <c r="V587" s="2448">
        <f t="shared" si="211"/>
        <v>0</v>
      </c>
      <c r="W587" s="2522">
        <f t="shared" si="211"/>
        <v>0</v>
      </c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ht="39" hidden="1" x14ac:dyDescent="0.3">
      <c r="A588" s="32"/>
      <c r="B588" s="2066" t="s">
        <v>105</v>
      </c>
      <c r="C588" s="88"/>
      <c r="D588" s="88"/>
      <c r="E588" s="88"/>
      <c r="F588" s="112" t="s">
        <v>144</v>
      </c>
      <c r="G588" s="88">
        <v>540</v>
      </c>
      <c r="H588" s="9" t="s">
        <v>456</v>
      </c>
      <c r="I588" s="33" t="s">
        <v>452</v>
      </c>
      <c r="J588" s="1061">
        <v>169.6</v>
      </c>
      <c r="K588" s="1061"/>
      <c r="L588" s="1061"/>
      <c r="M588" s="1125"/>
      <c r="N588" s="2448">
        <v>0</v>
      </c>
      <c r="O588" s="2422"/>
      <c r="P588" s="2423"/>
      <c r="Q588" s="2424">
        <v>0</v>
      </c>
      <c r="R588" s="2425">
        <v>0</v>
      </c>
      <c r="S588" s="2426"/>
      <c r="T588" s="2426"/>
      <c r="U588" s="2426"/>
      <c r="V588" s="2448">
        <v>0</v>
      </c>
      <c r="W588" s="2522">
        <v>0</v>
      </c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ht="39" hidden="1" x14ac:dyDescent="0.25">
      <c r="A589" s="32"/>
      <c r="B589" s="1093" t="s">
        <v>111</v>
      </c>
      <c r="C589" s="88"/>
      <c r="D589" s="88"/>
      <c r="E589" s="88"/>
      <c r="F589" s="34" t="s">
        <v>110</v>
      </c>
      <c r="G589" s="88"/>
      <c r="H589" s="88"/>
      <c r="I589" s="88"/>
      <c r="J589" s="1064">
        <f>J590</f>
        <v>0</v>
      </c>
      <c r="K589" s="1061"/>
      <c r="L589" s="1061"/>
      <c r="M589" s="1125"/>
      <c r="N589" s="2450">
        <f t="shared" ref="N589:R592" si="212">N590</f>
        <v>0</v>
      </c>
      <c r="O589" s="2429">
        <f t="shared" si="212"/>
        <v>0</v>
      </c>
      <c r="P589" s="2430">
        <f t="shared" si="212"/>
        <v>0</v>
      </c>
      <c r="Q589" s="2431">
        <f t="shared" si="212"/>
        <v>0</v>
      </c>
      <c r="R589" s="2432">
        <f t="shared" si="212"/>
        <v>0</v>
      </c>
      <c r="S589" s="2426"/>
      <c r="T589" s="2426"/>
      <c r="U589" s="2426"/>
      <c r="V589" s="2450">
        <f t="shared" ref="V589:W592" si="213">V590</f>
        <v>0</v>
      </c>
      <c r="W589" s="2521">
        <f t="shared" si="213"/>
        <v>0</v>
      </c>
    </row>
    <row r="590" spans="1:256" ht="75.650000000000006" hidden="1" customHeight="1" x14ac:dyDescent="0.25">
      <c r="A590" s="32"/>
      <c r="B590" s="1093" t="s">
        <v>109</v>
      </c>
      <c r="C590" s="88"/>
      <c r="D590" s="88"/>
      <c r="E590" s="88"/>
      <c r="F590" s="9" t="s">
        <v>108</v>
      </c>
      <c r="G590" s="88"/>
      <c r="H590" s="88"/>
      <c r="I590" s="88"/>
      <c r="J590" s="1061">
        <f>J591</f>
        <v>0</v>
      </c>
      <c r="K590" s="1061"/>
      <c r="L590" s="1061"/>
      <c r="M590" s="1125"/>
      <c r="N590" s="2448">
        <f t="shared" si="212"/>
        <v>0</v>
      </c>
      <c r="O590" s="2422">
        <f t="shared" si="212"/>
        <v>0</v>
      </c>
      <c r="P590" s="2423">
        <f t="shared" si="212"/>
        <v>0</v>
      </c>
      <c r="Q590" s="2424">
        <f t="shared" si="212"/>
        <v>0</v>
      </c>
      <c r="R590" s="2425">
        <f t="shared" si="212"/>
        <v>0</v>
      </c>
      <c r="S590" s="2426"/>
      <c r="T590" s="2426"/>
      <c r="U590" s="2426"/>
      <c r="V590" s="2448">
        <f t="shared" si="213"/>
        <v>0</v>
      </c>
      <c r="W590" s="2522">
        <f t="shared" si="213"/>
        <v>0</v>
      </c>
    </row>
    <row r="591" spans="1:256" ht="18" hidden="1" customHeight="1" x14ac:dyDescent="0.25">
      <c r="A591" s="32"/>
      <c r="B591" s="49" t="s">
        <v>107</v>
      </c>
      <c r="C591" s="88" t="s">
        <v>106</v>
      </c>
      <c r="D591" s="88" t="s">
        <v>69</v>
      </c>
      <c r="E591" s="88" t="s">
        <v>103</v>
      </c>
      <c r="F591" s="9" t="s">
        <v>104</v>
      </c>
      <c r="G591" s="9"/>
      <c r="H591" s="9"/>
      <c r="I591" s="88"/>
      <c r="J591" s="1060">
        <f>J592</f>
        <v>0</v>
      </c>
      <c r="K591" s="1059"/>
      <c r="L591" s="1059">
        <f>L592</f>
        <v>1223.8879999999999</v>
      </c>
      <c r="M591" s="1555">
        <f>M592</f>
        <v>1309.56</v>
      </c>
      <c r="N591" s="2451">
        <f t="shared" si="212"/>
        <v>0</v>
      </c>
      <c r="O591" s="2433">
        <f t="shared" si="212"/>
        <v>0</v>
      </c>
      <c r="P591" s="2434">
        <f t="shared" si="212"/>
        <v>0</v>
      </c>
      <c r="Q591" s="2427">
        <f t="shared" si="212"/>
        <v>0</v>
      </c>
      <c r="R591" s="2428">
        <f t="shared" si="212"/>
        <v>0</v>
      </c>
      <c r="S591" s="2426"/>
      <c r="T591" s="2426"/>
      <c r="U591" s="2426"/>
      <c r="V591" s="2451">
        <f t="shared" si="213"/>
        <v>0</v>
      </c>
      <c r="W591" s="2524">
        <f t="shared" si="213"/>
        <v>0</v>
      </c>
    </row>
    <row r="592" spans="1:256" ht="15" hidden="1" customHeight="1" x14ac:dyDescent="0.3">
      <c r="A592" s="32"/>
      <c r="B592" s="744" t="s">
        <v>7</v>
      </c>
      <c r="C592" s="88"/>
      <c r="D592" s="88" t="s">
        <v>69</v>
      </c>
      <c r="E592" s="88" t="s">
        <v>103</v>
      </c>
      <c r="F592" s="9" t="s">
        <v>104</v>
      </c>
      <c r="G592" s="88">
        <v>120</v>
      </c>
      <c r="H592" s="88"/>
      <c r="I592" s="88"/>
      <c r="J592" s="1060">
        <f>J593</f>
        <v>0</v>
      </c>
      <c r="K592" s="1060"/>
      <c r="L592" s="1061">
        <v>1223.8879999999999</v>
      </c>
      <c r="M592" s="1550">
        <v>1309.56</v>
      </c>
      <c r="N592" s="2451">
        <f t="shared" si="212"/>
        <v>0</v>
      </c>
      <c r="O592" s="2433">
        <f t="shared" si="212"/>
        <v>0</v>
      </c>
      <c r="P592" s="2434">
        <f t="shared" si="212"/>
        <v>0</v>
      </c>
      <c r="Q592" s="2427">
        <f t="shared" si="212"/>
        <v>0</v>
      </c>
      <c r="R592" s="2428">
        <f t="shared" si="212"/>
        <v>0</v>
      </c>
      <c r="S592" s="2426"/>
      <c r="T592" s="2426"/>
      <c r="U592" s="2426"/>
      <c r="V592" s="2451">
        <f t="shared" si="213"/>
        <v>0</v>
      </c>
      <c r="W592" s="2524">
        <f t="shared" si="213"/>
        <v>0</v>
      </c>
    </row>
    <row r="593" spans="1:256" ht="42" hidden="1" customHeight="1" x14ac:dyDescent="0.3">
      <c r="A593" s="32"/>
      <c r="B593" s="2066" t="s">
        <v>105</v>
      </c>
      <c r="C593" s="88"/>
      <c r="D593" s="88"/>
      <c r="E593" s="88"/>
      <c r="F593" s="9" t="s">
        <v>104</v>
      </c>
      <c r="G593" s="88">
        <v>120</v>
      </c>
      <c r="H593" s="88"/>
      <c r="I593" s="88" t="s">
        <v>103</v>
      </c>
      <c r="J593" s="1060"/>
      <c r="K593" s="1060"/>
      <c r="L593" s="1061">
        <v>1223.8879999999999</v>
      </c>
      <c r="M593" s="1550">
        <v>1309.56</v>
      </c>
      <c r="N593" s="2451"/>
      <c r="O593" s="2433"/>
      <c r="P593" s="2434"/>
      <c r="Q593" s="2427"/>
      <c r="R593" s="2428"/>
      <c r="S593" s="2426"/>
      <c r="T593" s="2426"/>
      <c r="U593" s="2426"/>
      <c r="V593" s="2451"/>
      <c r="W593" s="2524"/>
    </row>
    <row r="594" spans="1:256" ht="99" hidden="1" customHeight="1" x14ac:dyDescent="0.25">
      <c r="A594" s="32"/>
      <c r="B594" s="90" t="s">
        <v>784</v>
      </c>
      <c r="C594" s="88"/>
      <c r="D594" s="88" t="s">
        <v>69</v>
      </c>
      <c r="E594" s="88" t="s">
        <v>103</v>
      </c>
      <c r="F594" s="34" t="s">
        <v>141</v>
      </c>
      <c r="G594" s="9"/>
      <c r="H594" s="9"/>
      <c r="I594" s="88"/>
      <c r="J594" s="1065">
        <f>J595</f>
        <v>0</v>
      </c>
      <c r="K594" s="1065"/>
      <c r="L594" s="1065">
        <f t="shared" ref="L594:R594" si="214">L595</f>
        <v>171.8</v>
      </c>
      <c r="M594" s="1552">
        <f t="shared" si="214"/>
        <v>171.8</v>
      </c>
      <c r="N594" s="2450">
        <f t="shared" si="214"/>
        <v>0</v>
      </c>
      <c r="O594" s="2429">
        <f t="shared" si="214"/>
        <v>0</v>
      </c>
      <c r="P594" s="2430">
        <f t="shared" si="214"/>
        <v>0</v>
      </c>
      <c r="Q594" s="2431">
        <f t="shared" si="214"/>
        <v>0</v>
      </c>
      <c r="R594" s="2432">
        <f t="shared" si="214"/>
        <v>0</v>
      </c>
      <c r="S594" s="2426"/>
      <c r="T594" s="2426"/>
      <c r="U594" s="2426"/>
      <c r="V594" s="2450">
        <f t="shared" ref="V594:W594" si="215">V595</f>
        <v>0</v>
      </c>
      <c r="W594" s="2521">
        <f t="shared" si="215"/>
        <v>0</v>
      </c>
    </row>
    <row r="595" spans="1:256" ht="15" hidden="1" customHeight="1" x14ac:dyDescent="0.3">
      <c r="A595" s="32"/>
      <c r="B595" s="744" t="s">
        <v>142</v>
      </c>
      <c r="C595" s="88"/>
      <c r="D595" s="88" t="s">
        <v>69</v>
      </c>
      <c r="E595" s="88" t="s">
        <v>103</v>
      </c>
      <c r="F595" s="9" t="s">
        <v>141</v>
      </c>
      <c r="G595" s="9" t="s">
        <v>140</v>
      </c>
      <c r="H595" s="9"/>
      <c r="I595" s="88"/>
      <c r="J595" s="1063">
        <f>J596</f>
        <v>0</v>
      </c>
      <c r="K595" s="1063"/>
      <c r="L595" s="1063">
        <v>171.8</v>
      </c>
      <c r="M595" s="1125">
        <v>171.8</v>
      </c>
      <c r="N595" s="2448">
        <f>N596</f>
        <v>0</v>
      </c>
      <c r="O595" s="2422">
        <f>O596</f>
        <v>0</v>
      </c>
      <c r="P595" s="2423">
        <f>P596</f>
        <v>0</v>
      </c>
      <c r="Q595" s="2424">
        <f>Q596</f>
        <v>0</v>
      </c>
      <c r="R595" s="2425">
        <f>R596</f>
        <v>0</v>
      </c>
      <c r="S595" s="2426"/>
      <c r="T595" s="2426"/>
      <c r="U595" s="2426"/>
      <c r="V595" s="2448">
        <f>V596</f>
        <v>0</v>
      </c>
      <c r="W595" s="2522">
        <f>W596</f>
        <v>0</v>
      </c>
    </row>
    <row r="596" spans="1:256" ht="60.65" hidden="1" customHeight="1" x14ac:dyDescent="0.3">
      <c r="A596" s="32"/>
      <c r="B596" s="2066" t="s">
        <v>105</v>
      </c>
      <c r="C596" s="88"/>
      <c r="D596" s="88"/>
      <c r="E596" s="88"/>
      <c r="F596" s="9" t="s">
        <v>141</v>
      </c>
      <c r="G596" s="9" t="s">
        <v>140</v>
      </c>
      <c r="H596" s="9"/>
      <c r="I596" s="88" t="s">
        <v>103</v>
      </c>
      <c r="J596" s="1063"/>
      <c r="K596" s="1063"/>
      <c r="L596" s="1063">
        <v>171.8</v>
      </c>
      <c r="M596" s="1125">
        <v>171.8</v>
      </c>
      <c r="N596" s="2448"/>
      <c r="O596" s="2422"/>
      <c r="P596" s="2423"/>
      <c r="Q596" s="2424"/>
      <c r="R596" s="2425"/>
      <c r="S596" s="2426"/>
      <c r="T596" s="2426"/>
      <c r="U596" s="2426"/>
      <c r="V596" s="2448"/>
      <c r="W596" s="2522"/>
    </row>
    <row r="597" spans="1:256" ht="40.15" hidden="1" customHeight="1" x14ac:dyDescent="0.25">
      <c r="A597" s="32"/>
      <c r="B597" s="111" t="s">
        <v>785</v>
      </c>
      <c r="C597" s="88"/>
      <c r="D597" s="9" t="s">
        <v>69</v>
      </c>
      <c r="E597" s="9" t="s">
        <v>103</v>
      </c>
      <c r="F597" s="34" t="s">
        <v>136</v>
      </c>
      <c r="G597" s="9"/>
      <c r="H597" s="9"/>
      <c r="I597" s="9"/>
      <c r="J597" s="1065">
        <f>J599</f>
        <v>0</v>
      </c>
      <c r="K597" s="1065"/>
      <c r="L597" s="1065">
        <f t="shared" ref="L597:R597" si="216">L599</f>
        <v>263</v>
      </c>
      <c r="M597" s="1552">
        <f t="shared" si="216"/>
        <v>263</v>
      </c>
      <c r="N597" s="2450">
        <f t="shared" si="216"/>
        <v>0</v>
      </c>
      <c r="O597" s="2429">
        <f t="shared" si="216"/>
        <v>0</v>
      </c>
      <c r="P597" s="2430">
        <f t="shared" si="216"/>
        <v>0</v>
      </c>
      <c r="Q597" s="2431">
        <f t="shared" si="216"/>
        <v>0</v>
      </c>
      <c r="R597" s="2432">
        <f t="shared" si="216"/>
        <v>0</v>
      </c>
      <c r="S597" s="2426"/>
      <c r="T597" s="2426"/>
      <c r="U597" s="2426"/>
      <c r="V597" s="2450">
        <f t="shared" ref="V597:W597" si="217">V599</f>
        <v>0</v>
      </c>
      <c r="W597" s="2521">
        <f t="shared" si="217"/>
        <v>0</v>
      </c>
    </row>
    <row r="598" spans="1:256" ht="40.15" hidden="1" customHeight="1" x14ac:dyDescent="0.25">
      <c r="A598" s="32"/>
      <c r="B598" s="42" t="s">
        <v>138</v>
      </c>
      <c r="C598" s="9"/>
      <c r="D598" s="9" t="s">
        <v>69</v>
      </c>
      <c r="E598" s="9" t="s">
        <v>103</v>
      </c>
      <c r="F598" s="9" t="s">
        <v>137</v>
      </c>
      <c r="G598" s="9"/>
      <c r="H598" s="9"/>
      <c r="I598" s="9" t="s">
        <v>103</v>
      </c>
      <c r="J598" s="1062"/>
      <c r="K598" s="1062"/>
      <c r="L598" s="1062"/>
      <c r="M598" s="1556"/>
      <c r="N598" s="2451"/>
      <c r="O598" s="2433"/>
      <c r="P598" s="2434"/>
      <c r="Q598" s="2427"/>
      <c r="R598" s="2428"/>
      <c r="S598" s="2426"/>
      <c r="T598" s="2426"/>
      <c r="U598" s="2426"/>
      <c r="V598" s="2451"/>
      <c r="W598" s="2524"/>
    </row>
    <row r="599" spans="1:256" ht="15" hidden="1" customHeight="1" x14ac:dyDescent="0.3">
      <c r="A599" s="32"/>
      <c r="B599" s="744" t="s">
        <v>123</v>
      </c>
      <c r="C599" s="9"/>
      <c r="D599" s="9" t="s">
        <v>69</v>
      </c>
      <c r="E599" s="9" t="s">
        <v>103</v>
      </c>
      <c r="F599" s="9" t="s">
        <v>136</v>
      </c>
      <c r="G599" s="9" t="s">
        <v>120</v>
      </c>
      <c r="H599" s="9"/>
      <c r="I599" s="9"/>
      <c r="J599" s="1062">
        <f>J600</f>
        <v>0</v>
      </c>
      <c r="K599" s="1062"/>
      <c r="L599" s="1062">
        <v>263</v>
      </c>
      <c r="M599" s="1556">
        <v>263</v>
      </c>
      <c r="N599" s="2451">
        <f>N600</f>
        <v>0</v>
      </c>
      <c r="O599" s="2433">
        <f>O600</f>
        <v>0</v>
      </c>
      <c r="P599" s="2434">
        <f>P600</f>
        <v>0</v>
      </c>
      <c r="Q599" s="2427">
        <f>Q600</f>
        <v>0</v>
      </c>
      <c r="R599" s="2428">
        <f>R600</f>
        <v>0</v>
      </c>
      <c r="S599" s="2426"/>
      <c r="T599" s="2426"/>
      <c r="U599" s="2426"/>
      <c r="V599" s="2451">
        <f>V600</f>
        <v>0</v>
      </c>
      <c r="W599" s="2524">
        <f>W600</f>
        <v>0</v>
      </c>
    </row>
    <row r="600" spans="1:256" ht="39" hidden="1" x14ac:dyDescent="0.3">
      <c r="A600" s="32"/>
      <c r="B600" s="2066" t="s">
        <v>105</v>
      </c>
      <c r="C600" s="9"/>
      <c r="D600" s="9"/>
      <c r="E600" s="9"/>
      <c r="F600" s="9" t="s">
        <v>136</v>
      </c>
      <c r="G600" s="9" t="s">
        <v>120</v>
      </c>
      <c r="H600" s="9"/>
      <c r="I600" s="9" t="s">
        <v>103</v>
      </c>
      <c r="J600" s="1062"/>
      <c r="K600" s="1062"/>
      <c r="L600" s="1062">
        <v>263</v>
      </c>
      <c r="M600" s="1556">
        <v>263</v>
      </c>
      <c r="N600" s="2451"/>
      <c r="O600" s="2433"/>
      <c r="P600" s="2434"/>
      <c r="Q600" s="2427"/>
      <c r="R600" s="2428"/>
      <c r="S600" s="2426"/>
      <c r="T600" s="2426"/>
      <c r="U600" s="2426"/>
      <c r="V600" s="2451"/>
      <c r="W600" s="2524"/>
    </row>
    <row r="601" spans="1:256" ht="78" hidden="1" x14ac:dyDescent="0.25">
      <c r="A601" s="32"/>
      <c r="B601" s="110" t="s">
        <v>786</v>
      </c>
      <c r="C601" s="9"/>
      <c r="D601" s="9" t="s">
        <v>69</v>
      </c>
      <c r="E601" s="9" t="s">
        <v>103</v>
      </c>
      <c r="F601" s="34" t="s">
        <v>132</v>
      </c>
      <c r="G601" s="9"/>
      <c r="H601" s="9"/>
      <c r="I601" s="9"/>
      <c r="J601" s="1058">
        <f>J602</f>
        <v>0</v>
      </c>
      <c r="K601" s="1058"/>
      <c r="L601" s="1058">
        <f t="shared" ref="L601:R601" si="218">L602</f>
        <v>130.1</v>
      </c>
      <c r="M601" s="1555">
        <f t="shared" si="218"/>
        <v>130.1</v>
      </c>
      <c r="N601" s="2452">
        <f t="shared" si="218"/>
        <v>0</v>
      </c>
      <c r="O601" s="2435">
        <f t="shared" si="218"/>
        <v>0</v>
      </c>
      <c r="P601" s="2436">
        <f t="shared" si="218"/>
        <v>0</v>
      </c>
      <c r="Q601" s="2437">
        <f t="shared" si="218"/>
        <v>0</v>
      </c>
      <c r="R601" s="2438">
        <f t="shared" si="218"/>
        <v>0</v>
      </c>
      <c r="S601" s="2426"/>
      <c r="T601" s="2426"/>
      <c r="U601" s="2426"/>
      <c r="V601" s="2452">
        <f t="shared" ref="V601:W601" si="219">V602</f>
        <v>0</v>
      </c>
      <c r="W601" s="2523">
        <f t="shared" si="219"/>
        <v>0</v>
      </c>
    </row>
    <row r="602" spans="1:256" ht="13" hidden="1" x14ac:dyDescent="0.3">
      <c r="A602" s="32"/>
      <c r="B602" s="744" t="s">
        <v>123</v>
      </c>
      <c r="C602" s="9"/>
      <c r="D602" s="9" t="s">
        <v>69</v>
      </c>
      <c r="E602" s="9" t="s">
        <v>103</v>
      </c>
      <c r="F602" s="9" t="s">
        <v>132</v>
      </c>
      <c r="G602" s="9" t="s">
        <v>120</v>
      </c>
      <c r="H602" s="9"/>
      <c r="I602" s="9"/>
      <c r="J602" s="1062">
        <f>J604</f>
        <v>0</v>
      </c>
      <c r="K602" s="1062"/>
      <c r="L602" s="1062">
        <v>130.1</v>
      </c>
      <c r="M602" s="1556">
        <v>130.1</v>
      </c>
      <c r="N602" s="2451">
        <f>N604</f>
        <v>0</v>
      </c>
      <c r="O602" s="2433">
        <f>O604</f>
        <v>0</v>
      </c>
      <c r="P602" s="2434">
        <f>P604</f>
        <v>0</v>
      </c>
      <c r="Q602" s="2427">
        <f>Q604</f>
        <v>0</v>
      </c>
      <c r="R602" s="2428">
        <f>R604</f>
        <v>0</v>
      </c>
      <c r="S602" s="2426"/>
      <c r="T602" s="2426"/>
      <c r="U602" s="2426"/>
      <c r="V602" s="2451">
        <f>V604</f>
        <v>0</v>
      </c>
      <c r="W602" s="2524">
        <f>W604</f>
        <v>0</v>
      </c>
    </row>
    <row r="603" spans="1:256" ht="52" hidden="1" x14ac:dyDescent="0.25">
      <c r="A603" s="32"/>
      <c r="B603" s="109" t="s">
        <v>134</v>
      </c>
      <c r="C603" s="88"/>
      <c r="D603" s="88" t="s">
        <v>69</v>
      </c>
      <c r="E603" s="88" t="s">
        <v>103</v>
      </c>
      <c r="F603" s="9" t="s">
        <v>133</v>
      </c>
      <c r="G603" s="9"/>
      <c r="H603" s="9"/>
      <c r="I603" s="88" t="s">
        <v>103</v>
      </c>
      <c r="J603" s="1062"/>
      <c r="K603" s="1062"/>
      <c r="L603" s="1062"/>
      <c r="M603" s="1556"/>
      <c r="N603" s="2451"/>
      <c r="O603" s="2433"/>
      <c r="P603" s="2434"/>
      <c r="Q603" s="2427"/>
      <c r="R603" s="2428"/>
      <c r="S603" s="2426"/>
      <c r="T603" s="2426"/>
      <c r="U603" s="2426"/>
      <c r="V603" s="2451"/>
      <c r="W603" s="2524"/>
    </row>
    <row r="604" spans="1:256" s="6" customFormat="1" ht="33.65" hidden="1" customHeight="1" x14ac:dyDescent="0.3">
      <c r="A604" s="32"/>
      <c r="B604" s="2012" t="s">
        <v>105</v>
      </c>
      <c r="C604" s="88"/>
      <c r="D604" s="88"/>
      <c r="E604" s="88"/>
      <c r="F604" s="9" t="s">
        <v>132</v>
      </c>
      <c r="G604" s="9" t="s">
        <v>120</v>
      </c>
      <c r="H604" s="9"/>
      <c r="I604" s="9" t="s">
        <v>103</v>
      </c>
      <c r="J604" s="1062"/>
      <c r="K604" s="1062"/>
      <c r="L604" s="1062">
        <v>130.1</v>
      </c>
      <c r="M604" s="1556">
        <v>130.1</v>
      </c>
      <c r="N604" s="2451"/>
      <c r="O604" s="2433"/>
      <c r="P604" s="2434"/>
      <c r="Q604" s="2427"/>
      <c r="R604" s="2428"/>
      <c r="S604" s="2426"/>
      <c r="T604" s="2426"/>
      <c r="U604" s="2426"/>
      <c r="V604" s="2451"/>
      <c r="W604" s="2524"/>
      <c r="X604" s="750"/>
      <c r="Z604" s="2144"/>
    </row>
    <row r="605" spans="1:256" s="6" customFormat="1" ht="25" customHeight="1" x14ac:dyDescent="0.3">
      <c r="A605" s="32"/>
      <c r="B605" s="336" t="s">
        <v>131</v>
      </c>
      <c r="C605" s="88"/>
      <c r="D605" s="88"/>
      <c r="E605" s="88"/>
      <c r="F605" s="34" t="s">
        <v>129</v>
      </c>
      <c r="G605" s="34"/>
      <c r="H605" s="34"/>
      <c r="I605" s="34"/>
      <c r="J605" s="1058">
        <f>J608</f>
        <v>170.1</v>
      </c>
      <c r="K605" s="1058"/>
      <c r="L605" s="1058"/>
      <c r="M605" s="1555"/>
      <c r="N605" s="2452">
        <f>N607</f>
        <v>449.976</v>
      </c>
      <c r="O605" s="2435">
        <f>O608</f>
        <v>0</v>
      </c>
      <c r="P605" s="2436">
        <f>P608</f>
        <v>0</v>
      </c>
      <c r="Q605" s="2437"/>
      <c r="R605" s="2438"/>
      <c r="S605" s="2426"/>
      <c r="T605" s="2426"/>
      <c r="U605" s="2426"/>
      <c r="V605" s="2452">
        <f>V607</f>
        <v>0</v>
      </c>
      <c r="W605" s="2523">
        <f>W607</f>
        <v>0</v>
      </c>
      <c r="X605" s="750"/>
      <c r="Z605" s="2144"/>
    </row>
    <row r="606" spans="1:256" ht="13" x14ac:dyDescent="0.3">
      <c r="A606" s="32"/>
      <c r="B606" s="336" t="s">
        <v>1069</v>
      </c>
      <c r="C606" s="88"/>
      <c r="D606" s="88"/>
      <c r="E606" s="88"/>
      <c r="F606" s="9" t="s">
        <v>129</v>
      </c>
      <c r="G606" s="9" t="s">
        <v>1066</v>
      </c>
      <c r="H606" s="34"/>
      <c r="I606" s="34"/>
      <c r="J606" s="1058"/>
      <c r="K606" s="1058"/>
      <c r="L606" s="1058"/>
      <c r="M606" s="1555"/>
      <c r="N606" s="2451">
        <f>N607</f>
        <v>449.976</v>
      </c>
      <c r="O606" s="2435"/>
      <c r="P606" s="2436"/>
      <c r="Q606" s="2437"/>
      <c r="R606" s="2438"/>
      <c r="S606" s="2426"/>
      <c r="T606" s="2426"/>
      <c r="U606" s="2426"/>
      <c r="V606" s="2451">
        <f t="shared" ref="V606:W606" si="220">V607</f>
        <v>0</v>
      </c>
      <c r="W606" s="2524">
        <f t="shared" si="220"/>
        <v>0</v>
      </c>
    </row>
    <row r="607" spans="1:256" s="2" customFormat="1" ht="34.5" customHeight="1" x14ac:dyDescent="0.25">
      <c r="A607" s="32"/>
      <c r="B607" s="1120" t="s">
        <v>130</v>
      </c>
      <c r="C607" s="88"/>
      <c r="D607" s="88"/>
      <c r="E607" s="88"/>
      <c r="F607" s="9" t="s">
        <v>129</v>
      </c>
      <c r="G607" s="9" t="s">
        <v>120</v>
      </c>
      <c r="H607" s="9"/>
      <c r="I607" s="9"/>
      <c r="J607" s="1062"/>
      <c r="K607" s="1062"/>
      <c r="L607" s="1062"/>
      <c r="M607" s="1556"/>
      <c r="N607" s="2451">
        <f>N608</f>
        <v>449.976</v>
      </c>
      <c r="O607" s="2433">
        <f>O608</f>
        <v>0</v>
      </c>
      <c r="P607" s="2434">
        <f>P608</f>
        <v>0</v>
      </c>
      <c r="Q607" s="2427"/>
      <c r="R607" s="2428"/>
      <c r="S607" s="2426"/>
      <c r="T607" s="2426"/>
      <c r="U607" s="2426"/>
      <c r="V607" s="2451">
        <f>V608</f>
        <v>0</v>
      </c>
      <c r="W607" s="2524">
        <f>W608</f>
        <v>0</v>
      </c>
      <c r="Y607" s="1"/>
      <c r="Z607" s="237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spans="1:256" s="2" customFormat="1" ht="42" customHeight="1" x14ac:dyDescent="0.3">
      <c r="A608" s="32"/>
      <c r="B608" s="2012" t="s">
        <v>122</v>
      </c>
      <c r="C608" s="88"/>
      <c r="D608" s="88"/>
      <c r="E608" s="88"/>
      <c r="F608" s="9" t="s">
        <v>129</v>
      </c>
      <c r="G608" s="9" t="s">
        <v>120</v>
      </c>
      <c r="H608" s="9" t="s">
        <v>456</v>
      </c>
      <c r="I608" s="33" t="s">
        <v>585</v>
      </c>
      <c r="J608" s="1062">
        <v>170.1</v>
      </c>
      <c r="K608" s="1062"/>
      <c r="L608" s="1062"/>
      <c r="M608" s="1556"/>
      <c r="N608" s="2451">
        <v>449.976</v>
      </c>
      <c r="O608" s="2433"/>
      <c r="P608" s="2434"/>
      <c r="Q608" s="2427"/>
      <c r="R608" s="2428"/>
      <c r="S608" s="2426"/>
      <c r="T608" s="2426"/>
      <c r="U608" s="2426"/>
      <c r="V608" s="2451">
        <v>0</v>
      </c>
      <c r="W608" s="2524">
        <v>0</v>
      </c>
      <c r="Y608" s="1"/>
      <c r="Z608" s="237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 s="2" customFormat="1" ht="39" x14ac:dyDescent="0.25">
      <c r="A609" s="32"/>
      <c r="B609" s="107" t="s">
        <v>128</v>
      </c>
      <c r="C609" s="88"/>
      <c r="D609" s="88" t="s">
        <v>69</v>
      </c>
      <c r="E609" s="88" t="s">
        <v>103</v>
      </c>
      <c r="F609" s="34" t="s">
        <v>127</v>
      </c>
      <c r="G609" s="9"/>
      <c r="H609" s="9"/>
      <c r="I609" s="88"/>
      <c r="J609" s="1058">
        <f>J610+J613</f>
        <v>547.5</v>
      </c>
      <c r="K609" s="1058"/>
      <c r="L609" s="1058">
        <f t="shared" ref="L609:R609" si="221">L610+L613</f>
        <v>546.70000000000005</v>
      </c>
      <c r="M609" s="1555">
        <f t="shared" si="221"/>
        <v>546.70000000000005</v>
      </c>
      <c r="N609" s="2485">
        <f>N613</f>
        <v>7.04</v>
      </c>
      <c r="O609" s="2069">
        <f t="shared" si="221"/>
        <v>37.200000000000003</v>
      </c>
      <c r="P609" s="2070">
        <f t="shared" si="221"/>
        <v>37.200000000000003</v>
      </c>
      <c r="Q609" s="2071">
        <f t="shared" si="221"/>
        <v>7.1</v>
      </c>
      <c r="R609" s="2072">
        <f t="shared" si="221"/>
        <v>7.1</v>
      </c>
      <c r="S609" s="830">
        <v>-648.9</v>
      </c>
      <c r="T609" s="830">
        <v>-648.9</v>
      </c>
      <c r="U609" s="830">
        <v>-648.9</v>
      </c>
      <c r="V609" s="2485">
        <f>V613</f>
        <v>7.1</v>
      </c>
      <c r="W609" s="2530">
        <f>W613</f>
        <v>7.1</v>
      </c>
      <c r="Y609" s="1"/>
      <c r="Z609" s="237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s="2" customFormat="1" ht="68.5" hidden="1" customHeight="1" x14ac:dyDescent="0.3">
      <c r="A610" s="32"/>
      <c r="B610" s="2056" t="s">
        <v>7</v>
      </c>
      <c r="C610" s="88"/>
      <c r="D610" s="88" t="s">
        <v>69</v>
      </c>
      <c r="E610" s="88" t="s">
        <v>103</v>
      </c>
      <c r="F610" s="9" t="s">
        <v>127</v>
      </c>
      <c r="G610" s="9" t="s">
        <v>5</v>
      </c>
      <c r="H610" s="9"/>
      <c r="I610" s="88"/>
      <c r="J610" s="1062">
        <f>J611</f>
        <v>510.3</v>
      </c>
      <c r="K610" s="1062"/>
      <c r="L610" s="1062">
        <f>546.7-45.2</f>
        <v>501.50000000000006</v>
      </c>
      <c r="M610" s="1556">
        <f>546.7-45.2</f>
        <v>501.50000000000006</v>
      </c>
      <c r="N610" s="2451">
        <f>N611</f>
        <v>0</v>
      </c>
      <c r="O610" s="1999">
        <f>O611</f>
        <v>0</v>
      </c>
      <c r="P610" s="1937">
        <f>P611</f>
        <v>0</v>
      </c>
      <c r="Q610" s="2000">
        <f>Q611</f>
        <v>0</v>
      </c>
      <c r="R610" s="2001">
        <f>R611</f>
        <v>0</v>
      </c>
      <c r="V610" s="2451">
        <f>V611</f>
        <v>0</v>
      </c>
      <c r="W610" s="2524">
        <f>W611</f>
        <v>0</v>
      </c>
      <c r="Y610" s="1"/>
      <c r="Z610" s="237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s="2" customFormat="1" ht="13.9" hidden="1" customHeight="1" x14ac:dyDescent="0.25">
      <c r="A611" s="839"/>
      <c r="B611" s="52" t="s">
        <v>833</v>
      </c>
      <c r="C611" s="76"/>
      <c r="D611" s="76"/>
      <c r="E611" s="76"/>
      <c r="F611" s="9" t="s">
        <v>127</v>
      </c>
      <c r="G611" s="9" t="s">
        <v>5</v>
      </c>
      <c r="H611" s="9" t="s">
        <v>495</v>
      </c>
      <c r="I611" s="9" t="s">
        <v>832</v>
      </c>
      <c r="J611" s="1121">
        <f>392.863+117.437</f>
        <v>510.3</v>
      </c>
      <c r="K611" s="1121"/>
      <c r="L611" s="1121">
        <f>546.7-45.2</f>
        <v>501.50000000000006</v>
      </c>
      <c r="M611" s="1568">
        <f>546.7-45.2</f>
        <v>501.50000000000006</v>
      </c>
      <c r="N611" s="2451"/>
      <c r="O611" s="2073"/>
      <c r="P611" s="2074"/>
      <c r="Q611" s="2000"/>
      <c r="R611" s="2001"/>
      <c r="S611" s="750"/>
      <c r="T611" s="750"/>
      <c r="U611" s="750"/>
      <c r="V611" s="2451"/>
      <c r="W611" s="2524"/>
      <c r="Y611" s="1"/>
      <c r="Z611" s="237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s="2" customFormat="1" ht="28.15" customHeight="1" x14ac:dyDescent="0.25">
      <c r="A612" s="839"/>
      <c r="B612" s="724" t="s">
        <v>948</v>
      </c>
      <c r="C612" s="76"/>
      <c r="D612" s="76"/>
      <c r="E612" s="76"/>
      <c r="F612" s="9" t="s">
        <v>127</v>
      </c>
      <c r="G612" s="9" t="s">
        <v>955</v>
      </c>
      <c r="H612" s="9"/>
      <c r="I612" s="9"/>
      <c r="J612" s="1121"/>
      <c r="K612" s="1121"/>
      <c r="L612" s="1121"/>
      <c r="M612" s="1568"/>
      <c r="N612" s="2451">
        <f>N613</f>
        <v>7.04</v>
      </c>
      <c r="O612" s="2073"/>
      <c r="P612" s="2074"/>
      <c r="Q612" s="2000"/>
      <c r="R612" s="2001"/>
      <c r="S612" s="750"/>
      <c r="T612" s="750"/>
      <c r="U612" s="750"/>
      <c r="V612" s="2451">
        <f t="shared" ref="V612:W612" si="222">V613</f>
        <v>7.1</v>
      </c>
      <c r="W612" s="2524">
        <f t="shared" si="222"/>
        <v>7.1</v>
      </c>
      <c r="Y612" s="1"/>
      <c r="Z612" s="237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s="2" customFormat="1" ht="54.65" customHeight="1" x14ac:dyDescent="0.25">
      <c r="A613" s="32"/>
      <c r="B613" s="1993" t="s">
        <v>4</v>
      </c>
      <c r="C613" s="88"/>
      <c r="D613" s="88"/>
      <c r="E613" s="88"/>
      <c r="F613" s="9" t="s">
        <v>127</v>
      </c>
      <c r="G613" s="9" t="s">
        <v>1</v>
      </c>
      <c r="H613" s="9"/>
      <c r="I613" s="88"/>
      <c r="J613" s="1062">
        <f>J614</f>
        <v>37.200000000000003</v>
      </c>
      <c r="K613" s="1062"/>
      <c r="L613" s="1062">
        <v>45.2</v>
      </c>
      <c r="M613" s="1556">
        <v>45.2</v>
      </c>
      <c r="N613" s="2451">
        <f>N614</f>
        <v>7.04</v>
      </c>
      <c r="O613" s="1999">
        <f>O614</f>
        <v>37.200000000000003</v>
      </c>
      <c r="P613" s="1937">
        <f>P614</f>
        <v>37.200000000000003</v>
      </c>
      <c r="Q613" s="2000">
        <f>Q614</f>
        <v>7.1</v>
      </c>
      <c r="R613" s="2001">
        <f>R614</f>
        <v>7.1</v>
      </c>
      <c r="V613" s="2451">
        <f>V614</f>
        <v>7.1</v>
      </c>
      <c r="W613" s="2524">
        <f>W614</f>
        <v>7.1</v>
      </c>
      <c r="Y613" s="1"/>
      <c r="Z613" s="237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s="2" customFormat="1" ht="28.15" customHeight="1" x14ac:dyDescent="0.25">
      <c r="A614" s="32"/>
      <c r="B614" s="52" t="s">
        <v>1070</v>
      </c>
      <c r="C614" s="88"/>
      <c r="D614" s="88"/>
      <c r="E614" s="88"/>
      <c r="F614" s="9" t="s">
        <v>127</v>
      </c>
      <c r="G614" s="9" t="s">
        <v>1</v>
      </c>
      <c r="H614" s="9" t="s">
        <v>495</v>
      </c>
      <c r="I614" s="9" t="s">
        <v>832</v>
      </c>
      <c r="J614" s="1062">
        <f>17.5+15.7+4</f>
        <v>37.200000000000003</v>
      </c>
      <c r="K614" s="1062"/>
      <c r="L614" s="1062">
        <v>45.2</v>
      </c>
      <c r="M614" s="1556">
        <v>45.2</v>
      </c>
      <c r="N614" s="2451">
        <f>7.1-0.06</f>
        <v>7.04</v>
      </c>
      <c r="O614" s="1999">
        <v>37.200000000000003</v>
      </c>
      <c r="P614" s="1937">
        <v>37.200000000000003</v>
      </c>
      <c r="Q614" s="2000">
        <v>7.1</v>
      </c>
      <c r="R614" s="2001">
        <v>7.1</v>
      </c>
      <c r="S614" s="178">
        <v>7.1</v>
      </c>
      <c r="T614" s="178">
        <v>7.1</v>
      </c>
      <c r="U614" s="178">
        <v>7.1</v>
      </c>
      <c r="V614" s="2451">
        <v>7.1</v>
      </c>
      <c r="W614" s="2524">
        <v>7.1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28.15" hidden="1" customHeight="1" x14ac:dyDescent="0.25">
      <c r="A615" s="32"/>
      <c r="B615" s="52" t="s">
        <v>122</v>
      </c>
      <c r="C615" s="9"/>
      <c r="D615" s="94" t="s">
        <v>69</v>
      </c>
      <c r="E615" s="34" t="s">
        <v>119</v>
      </c>
      <c r="F615" s="94" t="s">
        <v>71</v>
      </c>
      <c r="G615" s="94" t="s">
        <v>71</v>
      </c>
      <c r="H615" s="94"/>
      <c r="I615" s="34"/>
      <c r="J615" s="1065">
        <f>J616</f>
        <v>0</v>
      </c>
      <c r="K615" s="1065"/>
      <c r="L615" s="1065">
        <f t="shared" ref="L615:R618" si="223">L616</f>
        <v>99.305000000000007</v>
      </c>
      <c r="M615" s="1552">
        <f t="shared" si="223"/>
        <v>99.305000000000007</v>
      </c>
      <c r="N615" s="2450">
        <f t="shared" si="223"/>
        <v>0</v>
      </c>
      <c r="O615" s="1994">
        <f t="shared" si="223"/>
        <v>0</v>
      </c>
      <c r="P615" s="1939">
        <f t="shared" si="223"/>
        <v>0</v>
      </c>
      <c r="Q615" s="1995">
        <f t="shared" si="223"/>
        <v>0</v>
      </c>
      <c r="R615" s="1985">
        <f t="shared" si="223"/>
        <v>0</v>
      </c>
      <c r="V615" s="2450">
        <f t="shared" ref="V615:W618" si="224">V616</f>
        <v>0</v>
      </c>
      <c r="W615" s="2521">
        <f t="shared" si="224"/>
        <v>0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t="16.149999999999999" hidden="1" customHeight="1" x14ac:dyDescent="0.25">
      <c r="A616" s="32"/>
      <c r="B616" s="52" t="s">
        <v>126</v>
      </c>
      <c r="C616" s="9"/>
      <c r="D616" s="94" t="s">
        <v>69</v>
      </c>
      <c r="E616" s="94" t="s">
        <v>119</v>
      </c>
      <c r="F616" s="34" t="s">
        <v>125</v>
      </c>
      <c r="G616" s="79"/>
      <c r="H616" s="79"/>
      <c r="I616" s="94"/>
      <c r="J616" s="1065">
        <f>J617</f>
        <v>0</v>
      </c>
      <c r="K616" s="1065"/>
      <c r="L616" s="1065">
        <f t="shared" si="223"/>
        <v>99.305000000000007</v>
      </c>
      <c r="M616" s="1552">
        <f t="shared" si="223"/>
        <v>99.305000000000007</v>
      </c>
      <c r="N616" s="2450">
        <f t="shared" si="223"/>
        <v>0</v>
      </c>
      <c r="O616" s="1994">
        <f t="shared" si="223"/>
        <v>0</v>
      </c>
      <c r="P616" s="1939">
        <f t="shared" si="223"/>
        <v>0</v>
      </c>
      <c r="Q616" s="1995">
        <f t="shared" si="223"/>
        <v>0</v>
      </c>
      <c r="R616" s="1985">
        <f t="shared" si="223"/>
        <v>0</v>
      </c>
      <c r="V616" s="2450">
        <f t="shared" si="224"/>
        <v>0</v>
      </c>
      <c r="W616" s="2521">
        <f t="shared" si="224"/>
        <v>0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40.15" hidden="1" customHeight="1" x14ac:dyDescent="0.25">
      <c r="A617" s="32"/>
      <c r="B617" s="105" t="s">
        <v>787</v>
      </c>
      <c r="C617" s="9"/>
      <c r="D617" s="88" t="s">
        <v>69</v>
      </c>
      <c r="E617" s="88" t="s">
        <v>119</v>
      </c>
      <c r="F617" s="34" t="s">
        <v>121</v>
      </c>
      <c r="G617" s="9"/>
      <c r="H617" s="9"/>
      <c r="I617" s="88"/>
      <c r="J617" s="1062">
        <f>J618</f>
        <v>0</v>
      </c>
      <c r="K617" s="1062"/>
      <c r="L617" s="1062">
        <f t="shared" si="223"/>
        <v>99.305000000000007</v>
      </c>
      <c r="M617" s="1556">
        <f t="shared" si="223"/>
        <v>99.305000000000007</v>
      </c>
      <c r="N617" s="2451">
        <f t="shared" si="223"/>
        <v>0</v>
      </c>
      <c r="O617" s="1999">
        <f t="shared" si="223"/>
        <v>0</v>
      </c>
      <c r="P617" s="1937">
        <f t="shared" si="223"/>
        <v>0</v>
      </c>
      <c r="Q617" s="2000">
        <f t="shared" si="223"/>
        <v>0</v>
      </c>
      <c r="R617" s="2001">
        <f t="shared" si="223"/>
        <v>0</v>
      </c>
      <c r="V617" s="2451">
        <f t="shared" si="224"/>
        <v>0</v>
      </c>
      <c r="W617" s="2524">
        <f t="shared" si="224"/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13" hidden="1" x14ac:dyDescent="0.3">
      <c r="A618" s="32"/>
      <c r="B618" s="2003" t="s">
        <v>123</v>
      </c>
      <c r="C618" s="9"/>
      <c r="D618" s="88" t="s">
        <v>69</v>
      </c>
      <c r="E618" s="88" t="s">
        <v>119</v>
      </c>
      <c r="F618" s="9" t="s">
        <v>121</v>
      </c>
      <c r="G618" s="9" t="s">
        <v>120</v>
      </c>
      <c r="H618" s="9"/>
      <c r="I618" s="88"/>
      <c r="J618" s="1062">
        <f>J619</f>
        <v>0</v>
      </c>
      <c r="K618" s="1062"/>
      <c r="L618" s="1062">
        <v>99.305000000000007</v>
      </c>
      <c r="M618" s="1556">
        <v>99.305000000000007</v>
      </c>
      <c r="N618" s="2451">
        <f t="shared" si="223"/>
        <v>0</v>
      </c>
      <c r="O618" s="1999">
        <f t="shared" si="223"/>
        <v>0</v>
      </c>
      <c r="P618" s="1937">
        <f t="shared" si="223"/>
        <v>0</v>
      </c>
      <c r="Q618" s="2000">
        <f t="shared" si="223"/>
        <v>0</v>
      </c>
      <c r="R618" s="2001">
        <f t="shared" si="223"/>
        <v>0</v>
      </c>
      <c r="V618" s="2451">
        <f t="shared" si="224"/>
        <v>0</v>
      </c>
      <c r="W618" s="2524">
        <f t="shared" si="224"/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21" hidden="1" customHeight="1" x14ac:dyDescent="0.3">
      <c r="A619" s="32"/>
      <c r="B619" s="2012" t="s">
        <v>122</v>
      </c>
      <c r="C619" s="9"/>
      <c r="D619" s="88"/>
      <c r="E619" s="88"/>
      <c r="F619" s="9" t="s">
        <v>121</v>
      </c>
      <c r="G619" s="9" t="s">
        <v>120</v>
      </c>
      <c r="H619" s="9"/>
      <c r="I619" s="88" t="s">
        <v>119</v>
      </c>
      <c r="J619" s="1062"/>
      <c r="K619" s="1062"/>
      <c r="L619" s="1062">
        <v>99.305000000000007</v>
      </c>
      <c r="M619" s="1556">
        <v>99.305000000000007</v>
      </c>
      <c r="N619" s="2451"/>
      <c r="O619" s="1999"/>
      <c r="P619" s="1937"/>
      <c r="Q619" s="2000"/>
      <c r="R619" s="2001"/>
      <c r="V619" s="2451"/>
      <c r="W619" s="2524"/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39" hidden="1" x14ac:dyDescent="0.25">
      <c r="A620" s="32"/>
      <c r="B620" s="1093" t="s">
        <v>118</v>
      </c>
      <c r="C620" s="9"/>
      <c r="D620" s="88"/>
      <c r="E620" s="88"/>
      <c r="F620" s="34" t="s">
        <v>117</v>
      </c>
      <c r="G620" s="9"/>
      <c r="H620" s="9"/>
      <c r="I620" s="88"/>
      <c r="J620" s="1062"/>
      <c r="K620" s="1062"/>
      <c r="L620" s="1062"/>
      <c r="M620" s="1556"/>
      <c r="N620" s="2451">
        <f>N621</f>
        <v>0</v>
      </c>
      <c r="O620" s="1999">
        <f t="shared" ref="O620:R623" si="225">O621</f>
        <v>659.56200000000001</v>
      </c>
      <c r="P620" s="1937">
        <f t="shared" si="225"/>
        <v>725.51900000000001</v>
      </c>
      <c r="Q620" s="2000">
        <f t="shared" si="225"/>
        <v>0</v>
      </c>
      <c r="R620" s="2001">
        <f t="shared" si="225"/>
        <v>0</v>
      </c>
      <c r="V620" s="2451">
        <f t="shared" ref="V620:W623" si="226">V621</f>
        <v>0</v>
      </c>
      <c r="W620" s="2524">
        <f t="shared" si="226"/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40" hidden="1" customHeight="1" x14ac:dyDescent="0.25">
      <c r="A621" s="32"/>
      <c r="B621" s="1093" t="s">
        <v>109</v>
      </c>
      <c r="C621" s="9"/>
      <c r="D621" s="88"/>
      <c r="E621" s="88"/>
      <c r="F621" s="9" t="s">
        <v>116</v>
      </c>
      <c r="G621" s="9"/>
      <c r="H621" s="9"/>
      <c r="I621" s="88"/>
      <c r="J621" s="1062"/>
      <c r="K621" s="1062"/>
      <c r="L621" s="1062"/>
      <c r="M621" s="1556"/>
      <c r="N621" s="2451">
        <f>N622</f>
        <v>0</v>
      </c>
      <c r="O621" s="1999">
        <f t="shared" si="225"/>
        <v>659.56200000000001</v>
      </c>
      <c r="P621" s="1937">
        <f t="shared" si="225"/>
        <v>725.51900000000001</v>
      </c>
      <c r="Q621" s="2000">
        <f t="shared" si="225"/>
        <v>0</v>
      </c>
      <c r="R621" s="2001">
        <f t="shared" si="225"/>
        <v>0</v>
      </c>
      <c r="V621" s="2451">
        <f t="shared" si="226"/>
        <v>0</v>
      </c>
      <c r="W621" s="2524">
        <f t="shared" si="226"/>
        <v>0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26" hidden="1" x14ac:dyDescent="0.25">
      <c r="A622" s="32"/>
      <c r="B622" s="1110" t="s">
        <v>115</v>
      </c>
      <c r="C622" s="9"/>
      <c r="D622" s="88"/>
      <c r="E622" s="88"/>
      <c r="F622" s="9" t="s">
        <v>113</v>
      </c>
      <c r="G622" s="9"/>
      <c r="H622" s="9"/>
      <c r="I622" s="88"/>
      <c r="J622" s="1062"/>
      <c r="K622" s="1062"/>
      <c r="L622" s="1062"/>
      <c r="M622" s="1556"/>
      <c r="N622" s="2451">
        <f>N623</f>
        <v>0</v>
      </c>
      <c r="O622" s="1999">
        <f t="shared" si="225"/>
        <v>659.56200000000001</v>
      </c>
      <c r="P622" s="1937">
        <f t="shared" si="225"/>
        <v>725.51900000000001</v>
      </c>
      <c r="Q622" s="2000">
        <f t="shared" si="225"/>
        <v>0</v>
      </c>
      <c r="R622" s="2001">
        <f t="shared" si="225"/>
        <v>0</v>
      </c>
      <c r="V622" s="2451">
        <f t="shared" si="226"/>
        <v>0</v>
      </c>
      <c r="W622" s="2524">
        <f t="shared" si="226"/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13" hidden="1" x14ac:dyDescent="0.3">
      <c r="A623" s="32"/>
      <c r="B623" s="744" t="s">
        <v>7</v>
      </c>
      <c r="C623" s="9"/>
      <c r="D623" s="88"/>
      <c r="E623" s="88"/>
      <c r="F623" s="9" t="s">
        <v>113</v>
      </c>
      <c r="G623" s="9" t="s">
        <v>5</v>
      </c>
      <c r="H623" s="9"/>
      <c r="I623" s="88"/>
      <c r="J623" s="1062"/>
      <c r="K623" s="1062"/>
      <c r="L623" s="1062"/>
      <c r="M623" s="1556"/>
      <c r="N623" s="2451">
        <f>N624</f>
        <v>0</v>
      </c>
      <c r="O623" s="1999">
        <f t="shared" si="225"/>
        <v>659.56200000000001</v>
      </c>
      <c r="P623" s="1937">
        <f t="shared" si="225"/>
        <v>725.51900000000001</v>
      </c>
      <c r="Q623" s="2000">
        <f t="shared" si="225"/>
        <v>0</v>
      </c>
      <c r="R623" s="2001">
        <f t="shared" si="225"/>
        <v>0</v>
      </c>
      <c r="V623" s="2451">
        <f t="shared" si="226"/>
        <v>0</v>
      </c>
      <c r="W623" s="2524">
        <f t="shared" si="226"/>
        <v>0</v>
      </c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ht="39" hidden="1" x14ac:dyDescent="0.3">
      <c r="A624" s="32"/>
      <c r="B624" s="336" t="s">
        <v>114</v>
      </c>
      <c r="C624" s="9"/>
      <c r="D624" s="88"/>
      <c r="E624" s="88"/>
      <c r="F624" s="9" t="s">
        <v>113</v>
      </c>
      <c r="G624" s="9" t="s">
        <v>5</v>
      </c>
      <c r="H624" s="9" t="s">
        <v>456</v>
      </c>
      <c r="I624" s="9" t="s">
        <v>495</v>
      </c>
      <c r="J624" s="1062"/>
      <c r="K624" s="1062"/>
      <c r="L624" s="1062"/>
      <c r="M624" s="1556"/>
      <c r="N624" s="2459">
        <f>530.24-530.24</f>
        <v>0</v>
      </c>
      <c r="O624" s="1999">
        <v>659.56200000000001</v>
      </c>
      <c r="P624" s="1937">
        <v>725.51900000000001</v>
      </c>
      <c r="Q624" s="2076">
        <f>530.24-530.24</f>
        <v>0</v>
      </c>
      <c r="R624" s="2077">
        <f>530.24-530.24</f>
        <v>0</v>
      </c>
      <c r="V624" s="2459">
        <f>530.24-530.24</f>
        <v>0</v>
      </c>
      <c r="W624" s="2531">
        <f>530.24-530.24</f>
        <v>0</v>
      </c>
    </row>
    <row r="625" spans="1:26" ht="39" x14ac:dyDescent="0.25">
      <c r="A625" s="32"/>
      <c r="B625" s="1093" t="s">
        <v>111</v>
      </c>
      <c r="C625" s="88"/>
      <c r="D625" s="88"/>
      <c r="E625" s="88"/>
      <c r="F625" s="34" t="s">
        <v>110</v>
      </c>
      <c r="G625" s="88"/>
      <c r="H625" s="88"/>
      <c r="I625" s="88"/>
      <c r="J625" s="1064">
        <f>J626</f>
        <v>1183.2429999999999</v>
      </c>
      <c r="K625" s="1061"/>
      <c r="L625" s="1061"/>
      <c r="M625" s="1125"/>
      <c r="N625" s="2450">
        <f t="shared" ref="N625:R629" si="227">N626</f>
        <v>2134.364</v>
      </c>
      <c r="O625" s="1994">
        <f t="shared" si="227"/>
        <v>1627.663</v>
      </c>
      <c r="P625" s="1939">
        <f t="shared" si="227"/>
        <v>1782.7329999999999</v>
      </c>
      <c r="Q625" s="1995">
        <f t="shared" si="227"/>
        <v>1573.104</v>
      </c>
      <c r="R625" s="1985">
        <f t="shared" si="227"/>
        <v>1636.028</v>
      </c>
      <c r="V625" s="2450">
        <f t="shared" ref="V625:W629" si="228">V626</f>
        <v>2219.7379999999998</v>
      </c>
      <c r="W625" s="2521">
        <f t="shared" si="228"/>
        <v>2308.527</v>
      </c>
    </row>
    <row r="626" spans="1:26" ht="13" x14ac:dyDescent="0.25">
      <c r="A626" s="32"/>
      <c r="B626" s="1093" t="s">
        <v>109</v>
      </c>
      <c r="C626" s="88"/>
      <c r="D626" s="88"/>
      <c r="E626" s="88"/>
      <c r="F626" s="9" t="s">
        <v>108</v>
      </c>
      <c r="G626" s="88"/>
      <c r="H626" s="88"/>
      <c r="I626" s="88"/>
      <c r="J626" s="1061">
        <f>J627</f>
        <v>1183.2429999999999</v>
      </c>
      <c r="K626" s="1061"/>
      <c r="L626" s="1061"/>
      <c r="M626" s="1125"/>
      <c r="N626" s="2448">
        <f t="shared" si="227"/>
        <v>2134.364</v>
      </c>
      <c r="O626" s="1947">
        <f t="shared" si="227"/>
        <v>1627.663</v>
      </c>
      <c r="P626" s="1941">
        <f t="shared" si="227"/>
        <v>1782.7329999999999</v>
      </c>
      <c r="Q626" s="1987">
        <f t="shared" si="227"/>
        <v>1573.104</v>
      </c>
      <c r="R626" s="1988">
        <f t="shared" si="227"/>
        <v>1636.028</v>
      </c>
      <c r="V626" s="2448">
        <f t="shared" si="228"/>
        <v>2219.7379999999998</v>
      </c>
      <c r="W626" s="2522">
        <f t="shared" si="228"/>
        <v>2308.527</v>
      </c>
    </row>
    <row r="627" spans="1:26" ht="26" x14ac:dyDescent="0.25">
      <c r="A627" s="32"/>
      <c r="B627" s="49" t="s">
        <v>107</v>
      </c>
      <c r="C627" s="88" t="s">
        <v>106</v>
      </c>
      <c r="D627" s="88" t="s">
        <v>69</v>
      </c>
      <c r="E627" s="88" t="s">
        <v>103</v>
      </c>
      <c r="F627" s="9" t="s">
        <v>104</v>
      </c>
      <c r="G627" s="9"/>
      <c r="H627" s="9"/>
      <c r="I627" s="88"/>
      <c r="J627" s="1060">
        <f>J629</f>
        <v>1183.2429999999999</v>
      </c>
      <c r="K627" s="1059"/>
      <c r="L627" s="1059">
        <f t="shared" ref="L627:R627" si="229">L629</f>
        <v>1223.8879999999999</v>
      </c>
      <c r="M627" s="1555">
        <f t="shared" si="229"/>
        <v>1309.56</v>
      </c>
      <c r="N627" s="2451">
        <f t="shared" si="229"/>
        <v>2134.364</v>
      </c>
      <c r="O627" s="1999">
        <f t="shared" si="229"/>
        <v>1627.663</v>
      </c>
      <c r="P627" s="1937">
        <f t="shared" si="229"/>
        <v>1782.7329999999999</v>
      </c>
      <c r="Q627" s="2000">
        <f t="shared" si="229"/>
        <v>1573.104</v>
      </c>
      <c r="R627" s="2001">
        <f t="shared" si="229"/>
        <v>1636.028</v>
      </c>
      <c r="V627" s="2451">
        <f>V629</f>
        <v>2219.7379999999998</v>
      </c>
      <c r="W627" s="2524">
        <f>W629</f>
        <v>2308.527</v>
      </c>
    </row>
    <row r="628" spans="1:26" ht="39" hidden="1" x14ac:dyDescent="0.25">
      <c r="A628" s="32"/>
      <c r="B628" s="49" t="s">
        <v>1063</v>
      </c>
      <c r="C628" s="88"/>
      <c r="D628" s="88"/>
      <c r="E628" s="88"/>
      <c r="F628" s="9" t="s">
        <v>104</v>
      </c>
      <c r="G628" s="9" t="s">
        <v>1062</v>
      </c>
      <c r="H628" s="9"/>
      <c r="I628" s="88"/>
      <c r="J628" s="1060"/>
      <c r="K628" s="1059"/>
      <c r="L628" s="1059"/>
      <c r="M628" s="1555"/>
      <c r="N628" s="2451">
        <f>N629</f>
        <v>2134.364</v>
      </c>
      <c r="O628" s="1999"/>
      <c r="P628" s="1937"/>
      <c r="Q628" s="2000"/>
      <c r="R628" s="2001"/>
      <c r="V628" s="2451">
        <f t="shared" ref="V628:W628" si="230">V629</f>
        <v>2219.7379999999998</v>
      </c>
      <c r="W628" s="2524">
        <f t="shared" si="230"/>
        <v>2308.527</v>
      </c>
    </row>
    <row r="629" spans="1:26" ht="13" x14ac:dyDescent="0.3">
      <c r="A629" s="32"/>
      <c r="B629" s="744" t="s">
        <v>7</v>
      </c>
      <c r="C629" s="88"/>
      <c r="D629" s="88" t="s">
        <v>69</v>
      </c>
      <c r="E629" s="88" t="s">
        <v>103</v>
      </c>
      <c r="F629" s="9" t="s">
        <v>104</v>
      </c>
      <c r="G629" s="88">
        <v>120</v>
      </c>
      <c r="H629" s="88"/>
      <c r="I629" s="88"/>
      <c r="J629" s="1060">
        <f>J630</f>
        <v>1183.2429999999999</v>
      </c>
      <c r="K629" s="1060"/>
      <c r="L629" s="1061">
        <v>1223.8879999999999</v>
      </c>
      <c r="M629" s="1550">
        <v>1309.56</v>
      </c>
      <c r="N629" s="2451">
        <f t="shared" si="227"/>
        <v>2134.364</v>
      </c>
      <c r="O629" s="1999">
        <f t="shared" si="227"/>
        <v>1627.663</v>
      </c>
      <c r="P629" s="1937">
        <f t="shared" si="227"/>
        <v>1782.7329999999999</v>
      </c>
      <c r="Q629" s="2000">
        <f t="shared" si="227"/>
        <v>1573.104</v>
      </c>
      <c r="R629" s="2001">
        <f t="shared" si="227"/>
        <v>1636.028</v>
      </c>
      <c r="V629" s="2451">
        <f t="shared" si="228"/>
        <v>2219.7379999999998</v>
      </c>
      <c r="W629" s="2524">
        <f t="shared" si="228"/>
        <v>2308.527</v>
      </c>
    </row>
    <row r="630" spans="1:26" ht="39" x14ac:dyDescent="0.3">
      <c r="A630" s="32"/>
      <c r="B630" s="2066" t="s">
        <v>105</v>
      </c>
      <c r="C630" s="88"/>
      <c r="D630" s="88"/>
      <c r="E630" s="88"/>
      <c r="F630" s="9" t="s">
        <v>104</v>
      </c>
      <c r="G630" s="88">
        <v>120</v>
      </c>
      <c r="H630" s="9" t="s">
        <v>456</v>
      </c>
      <c r="I630" s="33" t="s">
        <v>452</v>
      </c>
      <c r="J630" s="1060">
        <f>946.688+236.555</f>
        <v>1183.2429999999999</v>
      </c>
      <c r="K630" s="1060"/>
      <c r="L630" s="1061">
        <v>1223.8879999999999</v>
      </c>
      <c r="M630" s="1550">
        <v>1309.56</v>
      </c>
      <c r="N630" s="2451">
        <v>2134.364</v>
      </c>
      <c r="O630" s="1999">
        <v>1627.663</v>
      </c>
      <c r="P630" s="1937">
        <v>1782.7329999999999</v>
      </c>
      <c r="Q630" s="2000">
        <v>1573.104</v>
      </c>
      <c r="R630" s="2001">
        <v>1636.028</v>
      </c>
      <c r="V630" s="2451">
        <v>2219.7379999999998</v>
      </c>
      <c r="W630" s="2524">
        <v>2308.527</v>
      </c>
    </row>
    <row r="631" spans="1:26" ht="26" x14ac:dyDescent="0.25">
      <c r="A631" s="91">
        <v>16</v>
      </c>
      <c r="B631" s="52" t="s">
        <v>102</v>
      </c>
      <c r="C631" s="34"/>
      <c r="D631" s="34" t="s">
        <v>69</v>
      </c>
      <c r="E631" s="34" t="s">
        <v>90</v>
      </c>
      <c r="F631" s="34" t="s">
        <v>101</v>
      </c>
      <c r="G631" s="34"/>
      <c r="H631" s="34"/>
      <c r="I631" s="34"/>
      <c r="J631" s="1065">
        <f>J633</f>
        <v>213.2</v>
      </c>
      <c r="K631" s="1065"/>
      <c r="L631" s="1065">
        <f>L634</f>
        <v>108</v>
      </c>
      <c r="M631" s="1552">
        <f>M634</f>
        <v>108</v>
      </c>
      <c r="N631" s="2450">
        <f>N632</f>
        <v>1830.9949999999999</v>
      </c>
      <c r="O631" s="2429">
        <f t="shared" ref="O631:R632" si="231">O632</f>
        <v>213.5</v>
      </c>
      <c r="P631" s="2430">
        <f t="shared" si="231"/>
        <v>213.5</v>
      </c>
      <c r="Q631" s="2431">
        <f t="shared" si="231"/>
        <v>500</v>
      </c>
      <c r="R631" s="2432">
        <f t="shared" si="231"/>
        <v>600</v>
      </c>
      <c r="S631" s="2426"/>
      <c r="T631" s="2426"/>
      <c r="U631" s="2426"/>
      <c r="V631" s="2450">
        <f t="shared" ref="V631:W633" si="232">V632</f>
        <v>0</v>
      </c>
      <c r="W631" s="2521">
        <f t="shared" si="232"/>
        <v>0</v>
      </c>
    </row>
    <row r="632" spans="1:26" ht="13" x14ac:dyDescent="0.25">
      <c r="A632" s="91"/>
      <c r="B632" s="49" t="s">
        <v>83</v>
      </c>
      <c r="C632" s="34"/>
      <c r="D632" s="34"/>
      <c r="E632" s="34"/>
      <c r="F632" s="9" t="s">
        <v>100</v>
      </c>
      <c r="G632" s="34"/>
      <c r="H632" s="34"/>
      <c r="I632" s="34"/>
      <c r="J632" s="1065"/>
      <c r="K632" s="1065"/>
      <c r="L632" s="1065"/>
      <c r="M632" s="1552"/>
      <c r="N632" s="2448">
        <f>N633</f>
        <v>1830.9949999999999</v>
      </c>
      <c r="O632" s="2422">
        <f t="shared" si="231"/>
        <v>213.5</v>
      </c>
      <c r="P632" s="2423">
        <f t="shared" si="231"/>
        <v>213.5</v>
      </c>
      <c r="Q632" s="2424">
        <f t="shared" si="231"/>
        <v>500</v>
      </c>
      <c r="R632" s="2425">
        <f t="shared" si="231"/>
        <v>600</v>
      </c>
      <c r="S632" s="2426"/>
      <c r="T632" s="2426"/>
      <c r="U632" s="2426"/>
      <c r="V632" s="2448">
        <f t="shared" si="232"/>
        <v>0</v>
      </c>
      <c r="W632" s="2522">
        <f t="shared" si="232"/>
        <v>0</v>
      </c>
    </row>
    <row r="633" spans="1:26" ht="13" x14ac:dyDescent="0.25">
      <c r="A633" s="91"/>
      <c r="B633" s="49" t="s">
        <v>83</v>
      </c>
      <c r="C633" s="34"/>
      <c r="D633" s="34"/>
      <c r="E633" s="34"/>
      <c r="F633" s="9" t="s">
        <v>99</v>
      </c>
      <c r="G633" s="34"/>
      <c r="H633" s="34"/>
      <c r="I633" s="34"/>
      <c r="J633" s="1063">
        <f>J637+J644</f>
        <v>213.2</v>
      </c>
      <c r="K633" s="1065"/>
      <c r="L633" s="1065"/>
      <c r="M633" s="1552"/>
      <c r="N633" s="2448">
        <f>N634</f>
        <v>1830.9949999999999</v>
      </c>
      <c r="O633" s="2422">
        <f>O637+O644</f>
        <v>213.5</v>
      </c>
      <c r="P633" s="2423">
        <f>P637+P644</f>
        <v>213.5</v>
      </c>
      <c r="Q633" s="2424">
        <f>Q637+Q644</f>
        <v>500</v>
      </c>
      <c r="R633" s="2425">
        <f>R637+R644</f>
        <v>600</v>
      </c>
      <c r="S633" s="2426"/>
      <c r="T633" s="2426"/>
      <c r="U633" s="2426"/>
      <c r="V633" s="2448">
        <f t="shared" si="232"/>
        <v>0</v>
      </c>
      <c r="W633" s="2522">
        <f t="shared" si="232"/>
        <v>0</v>
      </c>
    </row>
    <row r="634" spans="1:26" ht="13" x14ac:dyDescent="0.25">
      <c r="A634" s="32"/>
      <c r="B634" s="49" t="s">
        <v>98</v>
      </c>
      <c r="C634" s="34"/>
      <c r="D634" s="9" t="s">
        <v>69</v>
      </c>
      <c r="E634" s="9" t="s">
        <v>90</v>
      </c>
      <c r="F634" s="9" t="s">
        <v>92</v>
      </c>
      <c r="G634" s="34"/>
      <c r="H634" s="34"/>
      <c r="I634" s="9"/>
      <c r="J634" s="1063">
        <f>J636</f>
        <v>198.2</v>
      </c>
      <c r="K634" s="1063"/>
      <c r="L634" s="1063">
        <f>L636+L643</f>
        <v>108</v>
      </c>
      <c r="M634" s="1125">
        <f>M636+M643</f>
        <v>108</v>
      </c>
      <c r="N634" s="2448">
        <f>N637+N642+N644</f>
        <v>1830.9949999999999</v>
      </c>
      <c r="O634" s="2422">
        <f>O636</f>
        <v>178.5</v>
      </c>
      <c r="P634" s="2423">
        <f>P636</f>
        <v>178.5</v>
      </c>
      <c r="Q634" s="2424">
        <f>Q636+Q643</f>
        <v>500</v>
      </c>
      <c r="R634" s="2425">
        <f>R636+R643</f>
        <v>600</v>
      </c>
      <c r="S634" s="2426"/>
      <c r="T634" s="2426"/>
      <c r="U634" s="2426"/>
      <c r="V634" s="2448">
        <f>V637+V642+V644</f>
        <v>0</v>
      </c>
      <c r="W634" s="2522">
        <f>W637+W642+W644</f>
        <v>0</v>
      </c>
    </row>
    <row r="635" spans="1:26" ht="26" x14ac:dyDescent="0.25">
      <c r="A635" s="32"/>
      <c r="B635" s="724" t="s">
        <v>948</v>
      </c>
      <c r="C635" s="34"/>
      <c r="D635" s="9"/>
      <c r="E635" s="9"/>
      <c r="F635" s="9"/>
      <c r="G635" s="9" t="s">
        <v>955</v>
      </c>
      <c r="H635" s="34"/>
      <c r="I635" s="9"/>
      <c r="J635" s="1063"/>
      <c r="K635" s="1063"/>
      <c r="L635" s="1063"/>
      <c r="M635" s="1125"/>
      <c r="N635" s="2448">
        <f>N636</f>
        <v>1790.9949999999999</v>
      </c>
      <c r="O635" s="2422"/>
      <c r="P635" s="2423"/>
      <c r="Q635" s="2424"/>
      <c r="R635" s="2425"/>
      <c r="S635" s="2426"/>
      <c r="T635" s="2426"/>
      <c r="U635" s="2426"/>
      <c r="V635" s="2448">
        <f t="shared" ref="V635:W635" si="233">V636</f>
        <v>0</v>
      </c>
      <c r="W635" s="2522">
        <f t="shared" si="233"/>
        <v>0</v>
      </c>
    </row>
    <row r="636" spans="1:26" ht="26" x14ac:dyDescent="0.25">
      <c r="A636" s="32"/>
      <c r="B636" s="1993" t="s">
        <v>4</v>
      </c>
      <c r="C636" s="34"/>
      <c r="D636" s="9" t="s">
        <v>69</v>
      </c>
      <c r="E636" s="9" t="s">
        <v>90</v>
      </c>
      <c r="F636" s="9" t="s">
        <v>92</v>
      </c>
      <c r="G636" s="9" t="s">
        <v>1</v>
      </c>
      <c r="H636" s="9"/>
      <c r="I636" s="9"/>
      <c r="J636" s="1063">
        <f>J637</f>
        <v>198.2</v>
      </c>
      <c r="K636" s="1063"/>
      <c r="L636" s="1063">
        <v>105</v>
      </c>
      <c r="M636" s="1125">
        <v>105</v>
      </c>
      <c r="N636" s="2448">
        <f t="shared" ref="N636:R636" si="234">N637</f>
        <v>1790.9949999999999</v>
      </c>
      <c r="O636" s="2422">
        <f t="shared" si="234"/>
        <v>178.5</v>
      </c>
      <c r="P636" s="2423">
        <f t="shared" si="234"/>
        <v>178.5</v>
      </c>
      <c r="Q636" s="2424">
        <f t="shared" si="234"/>
        <v>400</v>
      </c>
      <c r="R636" s="2425">
        <f t="shared" si="234"/>
        <v>500</v>
      </c>
      <c r="S636" s="2426"/>
      <c r="T636" s="2426"/>
      <c r="U636" s="2426"/>
      <c r="V636" s="2448">
        <f t="shared" ref="V636:W636" si="235">V637</f>
        <v>0</v>
      </c>
      <c r="W636" s="2522">
        <f t="shared" si="235"/>
        <v>0</v>
      </c>
    </row>
    <row r="637" spans="1:26" ht="13" x14ac:dyDescent="0.25">
      <c r="A637" s="32"/>
      <c r="B637" s="52" t="s">
        <v>93</v>
      </c>
      <c r="C637" s="34"/>
      <c r="D637" s="9"/>
      <c r="E637" s="9"/>
      <c r="F637" s="9" t="s">
        <v>92</v>
      </c>
      <c r="G637" s="9" t="s">
        <v>1</v>
      </c>
      <c r="H637" s="9" t="s">
        <v>456</v>
      </c>
      <c r="I637" s="9" t="s">
        <v>573</v>
      </c>
      <c r="J637" s="1063">
        <v>198.2</v>
      </c>
      <c r="K637" s="1063"/>
      <c r="L637" s="1063">
        <v>105</v>
      </c>
      <c r="M637" s="1125">
        <v>105</v>
      </c>
      <c r="N637" s="2448">
        <f>1856-65-0.005</f>
        <v>1790.9949999999999</v>
      </c>
      <c r="O637" s="2422">
        <v>178.5</v>
      </c>
      <c r="P637" s="2423">
        <v>178.5</v>
      </c>
      <c r="Q637" s="2424">
        <v>400</v>
      </c>
      <c r="R637" s="2425">
        <v>500</v>
      </c>
      <c r="S637" s="2426"/>
      <c r="T637" s="2426"/>
      <c r="U637" s="2426"/>
      <c r="V637" s="2448">
        <v>0</v>
      </c>
      <c r="W637" s="2522">
        <v>0</v>
      </c>
    </row>
    <row r="638" spans="1:26" s="83" customFormat="1" ht="13" hidden="1" x14ac:dyDescent="0.3">
      <c r="A638" s="32"/>
      <c r="B638" s="99" t="s">
        <v>97</v>
      </c>
      <c r="C638" s="34"/>
      <c r="D638" s="9" t="s">
        <v>69</v>
      </c>
      <c r="E638" s="9" t="s">
        <v>90</v>
      </c>
      <c r="F638" s="9" t="s">
        <v>96</v>
      </c>
      <c r="G638" s="9" t="s">
        <v>95</v>
      </c>
      <c r="H638" s="9"/>
      <c r="I638" s="1063"/>
      <c r="J638" s="1063">
        <f>J639</f>
        <v>0</v>
      </c>
      <c r="K638" s="1063"/>
      <c r="L638" s="1063"/>
      <c r="M638" s="2"/>
      <c r="N638" s="2448">
        <f>N639</f>
        <v>0</v>
      </c>
      <c r="O638" s="2422">
        <f>O639</f>
        <v>0</v>
      </c>
      <c r="P638" s="2423">
        <f>P639</f>
        <v>0</v>
      </c>
      <c r="Q638" s="2424">
        <f>Q639</f>
        <v>0</v>
      </c>
      <c r="R638" s="2425">
        <f>R639</f>
        <v>0</v>
      </c>
      <c r="S638" s="2426"/>
      <c r="T638" s="2426"/>
      <c r="U638" s="2426"/>
      <c r="V638" s="2448">
        <f>V639</f>
        <v>0</v>
      </c>
      <c r="W638" s="2522">
        <f>W639</f>
        <v>0</v>
      </c>
      <c r="X638" s="84"/>
      <c r="Z638" s="2141"/>
    </row>
    <row r="639" spans="1:26" s="83" customFormat="1" ht="13" hidden="1" x14ac:dyDescent="0.3">
      <c r="A639" s="32"/>
      <c r="B639" s="52" t="s">
        <v>93</v>
      </c>
      <c r="C639" s="34"/>
      <c r="D639" s="9"/>
      <c r="E639" s="9"/>
      <c r="F639" s="9" t="s">
        <v>96</v>
      </c>
      <c r="G639" s="9" t="s">
        <v>95</v>
      </c>
      <c r="H639" s="9"/>
      <c r="I639" s="9" t="s">
        <v>90</v>
      </c>
      <c r="J639" s="1063"/>
      <c r="K639" s="1063"/>
      <c r="L639" s="1063"/>
      <c r="M639" s="1125"/>
      <c r="N639" s="2448"/>
      <c r="O639" s="2422"/>
      <c r="P639" s="2423"/>
      <c r="Q639" s="2424"/>
      <c r="R639" s="2425"/>
      <c r="S639" s="2426"/>
      <c r="T639" s="2426"/>
      <c r="U639" s="2426"/>
      <c r="V639" s="2448"/>
      <c r="W639" s="2522"/>
      <c r="X639" s="84"/>
      <c r="Z639" s="2141"/>
    </row>
    <row r="640" spans="1:26" s="83" customFormat="1" ht="13" x14ac:dyDescent="0.3">
      <c r="A640" s="32"/>
      <c r="B640" s="2163" t="s">
        <v>1065</v>
      </c>
      <c r="C640" s="34"/>
      <c r="D640" s="9"/>
      <c r="E640" s="9"/>
      <c r="F640" s="9" t="s">
        <v>92</v>
      </c>
      <c r="G640" s="9" t="s">
        <v>1064</v>
      </c>
      <c r="H640" s="9"/>
      <c r="I640" s="9"/>
      <c r="J640" s="1063"/>
      <c r="K640" s="1063"/>
      <c r="L640" s="1063"/>
      <c r="M640" s="1125"/>
      <c r="N640" s="2448">
        <f>N641+N643</f>
        <v>40</v>
      </c>
      <c r="O640" s="2422"/>
      <c r="P640" s="2423"/>
      <c r="Q640" s="2424"/>
      <c r="R640" s="2425"/>
      <c r="S640" s="2426"/>
      <c r="T640" s="2426"/>
      <c r="U640" s="2426"/>
      <c r="V640" s="2448">
        <f t="shared" ref="V640:W640" si="236">V641+V643</f>
        <v>0</v>
      </c>
      <c r="W640" s="2522">
        <f t="shared" si="236"/>
        <v>0</v>
      </c>
      <c r="X640" s="84"/>
      <c r="Z640" s="2141"/>
    </row>
    <row r="641" spans="1:27" s="83" customFormat="1" ht="13" hidden="1" x14ac:dyDescent="0.3">
      <c r="A641" s="32"/>
      <c r="B641" s="534" t="s">
        <v>97</v>
      </c>
      <c r="C641" s="34"/>
      <c r="D641" s="9"/>
      <c r="E641" s="9"/>
      <c r="F641" s="9" t="s">
        <v>92</v>
      </c>
      <c r="G641" s="9" t="s">
        <v>95</v>
      </c>
      <c r="H641" s="9"/>
      <c r="I641" s="9"/>
      <c r="J641" s="1063"/>
      <c r="K641" s="1063"/>
      <c r="L641" s="1063"/>
      <c r="M641" s="1125"/>
      <c r="N641" s="2448">
        <f>N642</f>
        <v>0</v>
      </c>
      <c r="O641" s="2422"/>
      <c r="P641" s="2423"/>
      <c r="Q641" s="2424"/>
      <c r="R641" s="2425"/>
      <c r="S641" s="2426"/>
      <c r="T641" s="2426"/>
      <c r="U641" s="2426"/>
      <c r="V641" s="2448">
        <f>V642</f>
        <v>0</v>
      </c>
      <c r="W641" s="2522">
        <f>W642</f>
        <v>0</v>
      </c>
      <c r="X641" s="84"/>
      <c r="Z641" s="2141"/>
    </row>
    <row r="642" spans="1:27" s="83" customFormat="1" ht="13" hidden="1" x14ac:dyDescent="0.3">
      <c r="A642" s="32"/>
      <c r="B642" s="52" t="s">
        <v>93</v>
      </c>
      <c r="C642" s="34"/>
      <c r="D642" s="9"/>
      <c r="E642" s="9"/>
      <c r="F642" s="9" t="s">
        <v>92</v>
      </c>
      <c r="G642" s="9" t="s">
        <v>95</v>
      </c>
      <c r="H642" s="9" t="s">
        <v>456</v>
      </c>
      <c r="I642" s="9" t="s">
        <v>573</v>
      </c>
      <c r="J642" s="1063"/>
      <c r="K642" s="1063"/>
      <c r="L642" s="1063"/>
      <c r="M642" s="1125"/>
      <c r="N642" s="2448">
        <v>0</v>
      </c>
      <c r="O642" s="2422"/>
      <c r="P642" s="2423"/>
      <c r="Q642" s="2424"/>
      <c r="R642" s="2425"/>
      <c r="S642" s="2426"/>
      <c r="T642" s="2426"/>
      <c r="U642" s="2426"/>
      <c r="V642" s="2448">
        <v>0</v>
      </c>
      <c r="W642" s="2522">
        <v>0</v>
      </c>
      <c r="X642" s="84"/>
      <c r="Z642" s="2141"/>
    </row>
    <row r="643" spans="1:27" s="83" customFormat="1" ht="13" x14ac:dyDescent="0.3">
      <c r="A643" s="32"/>
      <c r="B643" s="2003" t="s">
        <v>94</v>
      </c>
      <c r="C643" s="34"/>
      <c r="D643" s="9" t="s">
        <v>69</v>
      </c>
      <c r="E643" s="9" t="s">
        <v>90</v>
      </c>
      <c r="F643" s="9" t="s">
        <v>92</v>
      </c>
      <c r="G643" s="9" t="s">
        <v>91</v>
      </c>
      <c r="H643" s="9"/>
      <c r="I643" s="9"/>
      <c r="J643" s="1063">
        <f>J644</f>
        <v>15</v>
      </c>
      <c r="K643" s="1063"/>
      <c r="L643" s="1063">
        <v>3</v>
      </c>
      <c r="M643" s="1125">
        <v>3</v>
      </c>
      <c r="N643" s="2448">
        <f>N644</f>
        <v>40</v>
      </c>
      <c r="O643" s="2422">
        <f>O644</f>
        <v>35</v>
      </c>
      <c r="P643" s="2423">
        <f>P644</f>
        <v>35</v>
      </c>
      <c r="Q643" s="2424">
        <f>Q644</f>
        <v>100</v>
      </c>
      <c r="R643" s="2425">
        <f>R644</f>
        <v>100</v>
      </c>
      <c r="S643" s="2426"/>
      <c r="T643" s="2426"/>
      <c r="U643" s="2426"/>
      <c r="V643" s="2448">
        <f>V644</f>
        <v>0</v>
      </c>
      <c r="W643" s="2522">
        <f>W644</f>
        <v>0</v>
      </c>
      <c r="X643" s="84"/>
      <c r="Z643" s="2141"/>
    </row>
    <row r="644" spans="1:27" s="83" customFormat="1" ht="13" x14ac:dyDescent="0.3">
      <c r="A644" s="32"/>
      <c r="B644" s="52" t="s">
        <v>93</v>
      </c>
      <c r="C644" s="34"/>
      <c r="D644" s="9"/>
      <c r="E644" s="9"/>
      <c r="F644" s="9" t="s">
        <v>92</v>
      </c>
      <c r="G644" s="9" t="s">
        <v>91</v>
      </c>
      <c r="H644" s="9" t="s">
        <v>456</v>
      </c>
      <c r="I644" s="9" t="s">
        <v>573</v>
      </c>
      <c r="J644" s="1063">
        <f>13+2</f>
        <v>15</v>
      </c>
      <c r="K644" s="1063"/>
      <c r="L644" s="1063">
        <v>3</v>
      </c>
      <c r="M644" s="1125">
        <v>3</v>
      </c>
      <c r="N644" s="2448">
        <v>40</v>
      </c>
      <c r="O644" s="2422">
        <v>35</v>
      </c>
      <c r="P644" s="2423">
        <v>35</v>
      </c>
      <c r="Q644" s="2424">
        <v>100</v>
      </c>
      <c r="R644" s="2425">
        <v>100</v>
      </c>
      <c r="S644" s="2426"/>
      <c r="T644" s="2426"/>
      <c r="U644" s="2426"/>
      <c r="V644" s="2448">
        <v>0</v>
      </c>
      <c r="W644" s="2522">
        <v>0</v>
      </c>
      <c r="X644" s="84"/>
      <c r="Z644" s="2141"/>
    </row>
    <row r="645" spans="1:27" s="83" customFormat="1" ht="39" x14ac:dyDescent="0.3">
      <c r="A645" s="91">
        <v>17</v>
      </c>
      <c r="B645" s="52" t="s">
        <v>25</v>
      </c>
      <c r="C645" s="9"/>
      <c r="D645" s="94" t="s">
        <v>69</v>
      </c>
      <c r="E645" s="34" t="s">
        <v>66</v>
      </c>
      <c r="F645" s="94" t="s">
        <v>89</v>
      </c>
      <c r="G645" s="94"/>
      <c r="H645" s="94"/>
      <c r="I645" s="34"/>
      <c r="J645" s="1072">
        <f>J658+J671+J674+J692+J697+J736+J739+J750+J653+J722+J668+J655+J727+J730+J646+J664+J665+J789</f>
        <v>32462.342000000001</v>
      </c>
      <c r="K645" s="1061"/>
      <c r="L645" s="1064">
        <f>L658+L671+L674+L692+L697+L736+L739+L793+L653+L722</f>
        <v>13168.182999999999</v>
      </c>
      <c r="M645" s="1563">
        <f>M658+M671+M674+M692+M697+M736+M739+M793+M653+M722</f>
        <v>13168.182999999999</v>
      </c>
      <c r="N645" s="2450">
        <f>N649</f>
        <v>16452.305080000002</v>
      </c>
      <c r="O645" s="1994">
        <f>O654+O661+O695+O721+O723+O726+O738+O752+O754+O792</f>
        <v>4416.915</v>
      </c>
      <c r="P645" s="1939">
        <f>P654+P661+P695+P721+P723+P726+P738+P752+P754+P792</f>
        <v>4792.1499999999996</v>
      </c>
      <c r="Q645" s="1995">
        <f>Q654+Q661+Q684+Q695+Q721+Q765+Q768+Q771+Q777+Q792</f>
        <v>7937.2269999999999</v>
      </c>
      <c r="R645" s="1985">
        <f>R654+R661+R684+R688+R695+R721+R765+R768+R771+R777+R792</f>
        <v>7219.3109999999997</v>
      </c>
      <c r="S645" s="84"/>
      <c r="T645" s="84"/>
      <c r="U645" s="84"/>
      <c r="V645" s="2450">
        <f>V649</f>
        <v>12830.883000000002</v>
      </c>
      <c r="W645" s="2521">
        <f>W651+W658+W681+W685+W692+W703+W707+W711+W718+W758+W762+W778+W789</f>
        <v>13036.378000000001</v>
      </c>
      <c r="X645" s="84"/>
      <c r="Z645" s="2141"/>
    </row>
    <row r="646" spans="1:27" s="83" customFormat="1" ht="23.5" hidden="1" customHeight="1" x14ac:dyDescent="0.3">
      <c r="A646" s="91"/>
      <c r="B646" s="336" t="s">
        <v>88</v>
      </c>
      <c r="C646" s="9"/>
      <c r="D646" s="94"/>
      <c r="E646" s="34"/>
      <c r="F646" s="34" t="s">
        <v>86</v>
      </c>
      <c r="G646" s="94"/>
      <c r="H646" s="94"/>
      <c r="I646" s="34"/>
      <c r="J646" s="1060"/>
      <c r="K646" s="1061"/>
      <c r="L646" s="1064"/>
      <c r="M646" s="1563"/>
      <c r="N646" s="2451"/>
      <c r="O646" s="1999"/>
      <c r="P646" s="1937"/>
      <c r="Q646" s="2000"/>
      <c r="R646" s="2001"/>
      <c r="S646" s="84"/>
      <c r="T646" s="84"/>
      <c r="U646" s="84"/>
      <c r="V646" s="2451"/>
      <c r="W646" s="2524"/>
      <c r="X646" s="84"/>
      <c r="Z646" s="2141"/>
    </row>
    <row r="647" spans="1:27" s="83" customFormat="1" ht="26" hidden="1" x14ac:dyDescent="0.3">
      <c r="A647" s="91"/>
      <c r="B647" s="1993" t="s">
        <v>4</v>
      </c>
      <c r="C647" s="9"/>
      <c r="D647" s="94"/>
      <c r="E647" s="34"/>
      <c r="F647" s="9" t="s">
        <v>86</v>
      </c>
      <c r="G647" s="9" t="s">
        <v>1</v>
      </c>
      <c r="H647" s="9"/>
      <c r="I647" s="34"/>
      <c r="J647" s="1060"/>
      <c r="K647" s="1061"/>
      <c r="L647" s="1064"/>
      <c r="M647" s="1563"/>
      <c r="N647" s="2451"/>
      <c r="O647" s="1999"/>
      <c r="P647" s="1937"/>
      <c r="Q647" s="2000"/>
      <c r="R647" s="2001"/>
      <c r="S647" s="84"/>
      <c r="T647" s="84"/>
      <c r="U647" s="84"/>
      <c r="V647" s="2451"/>
      <c r="W647" s="2524"/>
      <c r="X647" s="84"/>
      <c r="Z647" s="2141"/>
    </row>
    <row r="648" spans="1:27" s="83" customFormat="1" ht="13" hidden="1" x14ac:dyDescent="0.3">
      <c r="A648" s="91"/>
      <c r="B648" s="49" t="s">
        <v>87</v>
      </c>
      <c r="C648" s="9"/>
      <c r="D648" s="94"/>
      <c r="E648" s="34"/>
      <c r="F648" s="9" t="s">
        <v>86</v>
      </c>
      <c r="G648" s="9" t="s">
        <v>1</v>
      </c>
      <c r="H648" s="9"/>
      <c r="I648" s="33" t="s">
        <v>85</v>
      </c>
      <c r="J648" s="1060"/>
      <c r="K648" s="1061"/>
      <c r="L648" s="1064"/>
      <c r="M648" s="1563"/>
      <c r="N648" s="2451"/>
      <c r="O648" s="1999"/>
      <c r="P648" s="1937"/>
      <c r="Q648" s="2000"/>
      <c r="R648" s="2001"/>
      <c r="S648" s="84"/>
      <c r="T648" s="84"/>
      <c r="U648" s="84"/>
      <c r="V648" s="2451"/>
      <c r="W648" s="2524"/>
      <c r="X648" s="84"/>
      <c r="Z648" s="2141"/>
    </row>
    <row r="649" spans="1:27" s="83" customFormat="1" ht="13" x14ac:dyDescent="0.3">
      <c r="A649" s="91"/>
      <c r="B649" s="49" t="s">
        <v>83</v>
      </c>
      <c r="C649" s="9"/>
      <c r="D649" s="94"/>
      <c r="E649" s="34"/>
      <c r="F649" s="88" t="s">
        <v>84</v>
      </c>
      <c r="G649" s="9"/>
      <c r="H649" s="9"/>
      <c r="I649" s="33"/>
      <c r="J649" s="1060">
        <f>J650</f>
        <v>32462.342000000001</v>
      </c>
      <c r="K649" s="1061"/>
      <c r="L649" s="1064"/>
      <c r="M649" s="1563"/>
      <c r="N649" s="2451">
        <f>N650</f>
        <v>16452.305080000002</v>
      </c>
      <c r="O649" s="1999">
        <f>O650</f>
        <v>4416.915</v>
      </c>
      <c r="P649" s="1937">
        <f>P650</f>
        <v>4792.1499999999996</v>
      </c>
      <c r="Q649" s="2000">
        <f>Q650</f>
        <v>7937.2269999999999</v>
      </c>
      <c r="R649" s="2001">
        <f>R650</f>
        <v>7219.3109999999997</v>
      </c>
      <c r="S649" s="84"/>
      <c r="T649" s="84"/>
      <c r="U649" s="84"/>
      <c r="V649" s="2451">
        <f>V650</f>
        <v>12830.883000000002</v>
      </c>
      <c r="W649" s="2524">
        <f>W650</f>
        <v>13036.378000000001</v>
      </c>
      <c r="X649" s="84"/>
      <c r="Z649" s="2141"/>
    </row>
    <row r="650" spans="1:27" s="83" customFormat="1" ht="13" x14ac:dyDescent="0.3">
      <c r="A650" s="91"/>
      <c r="B650" s="49" t="s">
        <v>83</v>
      </c>
      <c r="C650" s="9"/>
      <c r="D650" s="94"/>
      <c r="E650" s="34"/>
      <c r="F650" s="88" t="s">
        <v>82</v>
      </c>
      <c r="G650" s="9"/>
      <c r="H650" s="9"/>
      <c r="I650" s="33"/>
      <c r="J650" s="1060">
        <f>J645</f>
        <v>32462.342000000001</v>
      </c>
      <c r="K650" s="1061"/>
      <c r="L650" s="1064"/>
      <c r="M650" s="1563"/>
      <c r="N650" s="2451">
        <f>N651+N658+N681+N685+N692+N703+N711+N718+N758+N762+N789</f>
        <v>16452.305080000002</v>
      </c>
      <c r="O650" s="1999">
        <f>O645</f>
        <v>4416.915</v>
      </c>
      <c r="P650" s="1937">
        <f>P645</f>
        <v>4792.1499999999996</v>
      </c>
      <c r="Q650" s="2000">
        <f>Q645</f>
        <v>7937.2269999999999</v>
      </c>
      <c r="R650" s="2000">
        <f>R645</f>
        <v>7219.3109999999997</v>
      </c>
      <c r="S650" s="84"/>
      <c r="T650" s="84"/>
      <c r="U650" s="84"/>
      <c r="V650" s="2451">
        <f>V654+V657+V661+V684+V688+V695+V717+V721+V761+V765+V768+V771+V792+V774+V702+V706+V714+V785</f>
        <v>12830.883000000002</v>
      </c>
      <c r="W650" s="2524">
        <f>W654+W657+W661+W684+W688+W695+W717+W721+W761+W765+W768+W771+W792+W774+W702+W706+W714+W785</f>
        <v>13036.378000000001</v>
      </c>
      <c r="X650" s="84"/>
      <c r="Z650" s="2141"/>
    </row>
    <row r="651" spans="1:27" ht="30" customHeight="1" x14ac:dyDescent="0.3">
      <c r="A651" s="91"/>
      <c r="B651" s="262" t="s">
        <v>81</v>
      </c>
      <c r="C651" s="9"/>
      <c r="D651" s="94"/>
      <c r="E651" s="34"/>
      <c r="F651" s="79" t="s">
        <v>78</v>
      </c>
      <c r="G651" s="9"/>
      <c r="H651" s="9"/>
      <c r="I651" s="33"/>
      <c r="J651" s="1060">
        <f>J653</f>
        <v>48</v>
      </c>
      <c r="K651" s="1061"/>
      <c r="L651" s="1064"/>
      <c r="M651" s="1563"/>
      <c r="N651" s="2452">
        <f>N653</f>
        <v>718.50800000000004</v>
      </c>
      <c r="O651" s="1990">
        <f>O653</f>
        <v>531.38</v>
      </c>
      <c r="P651" s="1934">
        <f>P653</f>
        <v>584.51300000000003</v>
      </c>
      <c r="Q651" s="1991">
        <f>Q653</f>
        <v>639.61699999999996</v>
      </c>
      <c r="R651" s="1992">
        <f>R653</f>
        <v>665.20100000000002</v>
      </c>
      <c r="S651" s="84"/>
      <c r="T651" s="84"/>
      <c r="U651" s="84"/>
      <c r="V651" s="2452">
        <f>V653</f>
        <v>718.50800000000004</v>
      </c>
      <c r="W651" s="2523">
        <f>W653</f>
        <v>747.24800000000005</v>
      </c>
    </row>
    <row r="652" spans="1:27" ht="19.5" customHeight="1" x14ac:dyDescent="0.3">
      <c r="A652" s="91"/>
      <c r="B652" s="2168" t="s">
        <v>852</v>
      </c>
      <c r="C652" s="9"/>
      <c r="D652" s="94"/>
      <c r="E652" s="34"/>
      <c r="F652" s="77" t="s">
        <v>78</v>
      </c>
      <c r="G652" s="9" t="s">
        <v>860</v>
      </c>
      <c r="H652" s="9"/>
      <c r="I652" s="33"/>
      <c r="J652" s="1060"/>
      <c r="K652" s="1061"/>
      <c r="L652" s="1064"/>
      <c r="M652" s="1563"/>
      <c r="N652" s="2452">
        <f>N653</f>
        <v>718.50800000000004</v>
      </c>
      <c r="O652" s="1990"/>
      <c r="P652" s="1934"/>
      <c r="Q652" s="1991"/>
      <c r="R652" s="1992"/>
      <c r="S652" s="84"/>
      <c r="T652" s="84"/>
      <c r="U652" s="84"/>
      <c r="V652" s="2452">
        <f t="shared" ref="V652:W652" si="237">V653</f>
        <v>718.50800000000004</v>
      </c>
      <c r="W652" s="2523">
        <f t="shared" si="237"/>
        <v>747.24800000000005</v>
      </c>
    </row>
    <row r="653" spans="1:27" ht="26" x14ac:dyDescent="0.3">
      <c r="A653" s="91"/>
      <c r="B653" s="2012" t="s">
        <v>80</v>
      </c>
      <c r="C653" s="89"/>
      <c r="D653" s="9" t="s">
        <v>44</v>
      </c>
      <c r="E653" s="9" t="s">
        <v>76</v>
      </c>
      <c r="F653" s="77" t="s">
        <v>78</v>
      </c>
      <c r="G653" s="33" t="s">
        <v>77</v>
      </c>
      <c r="H653" s="33"/>
      <c r="I653" s="89"/>
      <c r="J653" s="1063">
        <f>J654</f>
        <v>48</v>
      </c>
      <c r="K653" s="1063">
        <f>K654</f>
        <v>240.5</v>
      </c>
      <c r="L653" s="1063">
        <f>L654</f>
        <v>240.5</v>
      </c>
      <c r="M653" s="1125">
        <f>M654</f>
        <v>240.5</v>
      </c>
      <c r="N653" s="2448">
        <f t="shared" ref="N653:R653" si="238">N654</f>
        <v>718.50800000000004</v>
      </c>
      <c r="O653" s="1947">
        <f t="shared" si="238"/>
        <v>531.38</v>
      </c>
      <c r="P653" s="1941">
        <f t="shared" si="238"/>
        <v>584.51300000000003</v>
      </c>
      <c r="Q653" s="1987">
        <f t="shared" si="238"/>
        <v>639.61699999999996</v>
      </c>
      <c r="R653" s="1988">
        <f t="shared" si="238"/>
        <v>665.20100000000002</v>
      </c>
      <c r="S653" s="84"/>
      <c r="T653" s="84"/>
      <c r="U653" s="84"/>
      <c r="V653" s="2448">
        <f t="shared" ref="V653:W653" si="239">V654</f>
        <v>718.50800000000004</v>
      </c>
      <c r="W653" s="2522">
        <f t="shared" si="239"/>
        <v>747.24800000000005</v>
      </c>
    </row>
    <row r="654" spans="1:27" ht="13" x14ac:dyDescent="0.3">
      <c r="A654" s="91"/>
      <c r="B654" s="90" t="s">
        <v>79</v>
      </c>
      <c r="C654" s="89"/>
      <c r="D654" s="9" t="s">
        <v>44</v>
      </c>
      <c r="E654" s="9" t="s">
        <v>76</v>
      </c>
      <c r="F654" s="77" t="s">
        <v>78</v>
      </c>
      <c r="G654" s="33" t="s">
        <v>77</v>
      </c>
      <c r="H654" s="33" t="s">
        <v>496</v>
      </c>
      <c r="I654" s="33" t="s">
        <v>456</v>
      </c>
      <c r="J654" s="1063">
        <v>48</v>
      </c>
      <c r="K654" s="1063">
        <v>240.5</v>
      </c>
      <c r="L654" s="1063">
        <v>240.5</v>
      </c>
      <c r="M654" s="1125">
        <v>240.5</v>
      </c>
      <c r="N654" s="2451">
        <v>718.50800000000004</v>
      </c>
      <c r="O654" s="1947">
        <v>531.38</v>
      </c>
      <c r="P654" s="1941">
        <v>584.51300000000003</v>
      </c>
      <c r="Q654" s="2000">
        <v>639.61699999999996</v>
      </c>
      <c r="R654" s="2001">
        <v>665.20100000000002</v>
      </c>
      <c r="S654" s="84"/>
      <c r="T654" s="84"/>
      <c r="U654" s="84"/>
      <c r="V654" s="2451">
        <v>718.50800000000004</v>
      </c>
      <c r="W654" s="2524">
        <v>747.24800000000005</v>
      </c>
      <c r="AA654" s="3013"/>
    </row>
    <row r="655" spans="1:27" ht="21" hidden="1" x14ac:dyDescent="0.3">
      <c r="A655" s="91"/>
      <c r="B655" s="1242" t="s">
        <v>930</v>
      </c>
      <c r="C655" s="9"/>
      <c r="D655" s="9" t="s">
        <v>15</v>
      </c>
      <c r="E655" s="9" t="s">
        <v>13</v>
      </c>
      <c r="F655" s="34" t="s">
        <v>925</v>
      </c>
      <c r="G655" s="33"/>
      <c r="H655" s="33"/>
      <c r="I655" s="33"/>
      <c r="J655" s="47"/>
      <c r="K655" s="1063"/>
      <c r="L655" s="1063"/>
      <c r="M655" s="1125"/>
      <c r="N655" s="2448">
        <f>N656</f>
        <v>0</v>
      </c>
      <c r="O655" s="2027"/>
      <c r="P655" s="1950"/>
      <c r="Q655" s="2028"/>
      <c r="R655" s="2029"/>
      <c r="S655" s="84"/>
      <c r="T655" s="84"/>
      <c r="U655" s="84"/>
      <c r="V655" s="2448">
        <f>V656</f>
        <v>0</v>
      </c>
      <c r="W655" s="2522">
        <f>W656</f>
        <v>0</v>
      </c>
    </row>
    <row r="656" spans="1:27" ht="21" hidden="1" x14ac:dyDescent="0.3">
      <c r="A656" s="91"/>
      <c r="B656" s="1182" t="s">
        <v>523</v>
      </c>
      <c r="C656" s="9"/>
      <c r="D656" s="9"/>
      <c r="E656" s="9"/>
      <c r="F656" s="9" t="s">
        <v>925</v>
      </c>
      <c r="G656" s="9" t="s">
        <v>521</v>
      </c>
      <c r="H656" s="9"/>
      <c r="I656" s="33"/>
      <c r="J656" s="47"/>
      <c r="K656" s="1063"/>
      <c r="L656" s="1063"/>
      <c r="M656" s="1125"/>
      <c r="N656" s="2448">
        <f>N657</f>
        <v>0</v>
      </c>
      <c r="O656" s="2027"/>
      <c r="P656" s="1950"/>
      <c r="Q656" s="2028"/>
      <c r="R656" s="2029"/>
      <c r="S656" s="84"/>
      <c r="T656" s="84"/>
      <c r="U656" s="84"/>
      <c r="V656" s="2448">
        <f>V657</f>
        <v>0</v>
      </c>
      <c r="W656" s="2522">
        <f>W657</f>
        <v>0</v>
      </c>
    </row>
    <row r="657" spans="1:26" ht="13" hidden="1" x14ac:dyDescent="0.3">
      <c r="A657" s="91"/>
      <c r="B657" s="49" t="s">
        <v>39</v>
      </c>
      <c r="C657" s="9"/>
      <c r="D657" s="9"/>
      <c r="E657" s="9"/>
      <c r="F657" s="9" t="s">
        <v>925</v>
      </c>
      <c r="G657" s="9" t="s">
        <v>521</v>
      </c>
      <c r="H657" s="9" t="s">
        <v>463</v>
      </c>
      <c r="I657" s="9" t="s">
        <v>488</v>
      </c>
      <c r="J657" s="47"/>
      <c r="K657" s="1063"/>
      <c r="L657" s="1063"/>
      <c r="M657" s="1125"/>
      <c r="N657" s="2448"/>
      <c r="O657" s="2027"/>
      <c r="P657" s="1950"/>
      <c r="Q657" s="2028"/>
      <c r="R657" s="2029"/>
      <c r="S657" s="84"/>
      <c r="T657" s="84"/>
      <c r="U657" s="84"/>
      <c r="V657" s="2448"/>
      <c r="W657" s="2522"/>
    </row>
    <row r="658" spans="1:26" ht="26" x14ac:dyDescent="0.25">
      <c r="A658" s="32"/>
      <c r="B658" s="49" t="s">
        <v>72</v>
      </c>
      <c r="C658" s="9"/>
      <c r="D658" s="88" t="s">
        <v>69</v>
      </c>
      <c r="E658" s="9" t="s">
        <v>66</v>
      </c>
      <c r="F658" s="34" t="s">
        <v>67</v>
      </c>
      <c r="G658" s="88" t="s">
        <v>71</v>
      </c>
      <c r="H658" s="88"/>
      <c r="I658" s="9"/>
      <c r="J658" s="1061">
        <f>J660</f>
        <v>2173</v>
      </c>
      <c r="K658" s="1061"/>
      <c r="L658" s="1061">
        <f t="shared" ref="L658:R658" si="240">L660</f>
        <v>2000</v>
      </c>
      <c r="M658" s="1550">
        <f t="shared" si="240"/>
        <v>2000</v>
      </c>
      <c r="N658" s="2450">
        <f t="shared" si="240"/>
        <v>2400</v>
      </c>
      <c r="O658" s="1994">
        <f t="shared" si="240"/>
        <v>2500.6</v>
      </c>
      <c r="P658" s="1939">
        <f t="shared" si="240"/>
        <v>2701.74</v>
      </c>
      <c r="Q658" s="1995">
        <f t="shared" si="240"/>
        <v>2900</v>
      </c>
      <c r="R658" s="1985">
        <f t="shared" si="240"/>
        <v>2980</v>
      </c>
      <c r="V658" s="2450">
        <f t="shared" ref="V658:W658" si="241">V660</f>
        <v>2500</v>
      </c>
      <c r="W658" s="2521">
        <f t="shared" si="241"/>
        <v>2650</v>
      </c>
    </row>
    <row r="659" spans="1:26" ht="22" customHeight="1" x14ac:dyDescent="0.25">
      <c r="A659" s="32"/>
      <c r="B659" s="2163" t="s">
        <v>1065</v>
      </c>
      <c r="C659" s="9"/>
      <c r="D659" s="88" t="s">
        <v>1065</v>
      </c>
      <c r="E659" s="9"/>
      <c r="F659" s="9" t="s">
        <v>67</v>
      </c>
      <c r="G659" s="88">
        <v>800</v>
      </c>
      <c r="H659" s="88"/>
      <c r="I659" s="9"/>
      <c r="J659" s="1061"/>
      <c r="K659" s="1061"/>
      <c r="L659" s="1061"/>
      <c r="M659" s="1550"/>
      <c r="N659" s="2448">
        <f>N660</f>
        <v>2400</v>
      </c>
      <c r="O659" s="1994"/>
      <c r="P659" s="1939"/>
      <c r="Q659" s="1995"/>
      <c r="R659" s="1985"/>
      <c r="V659" s="2450">
        <f t="shared" ref="V659:W659" si="242">V660</f>
        <v>2500</v>
      </c>
      <c r="W659" s="2521">
        <f t="shared" si="242"/>
        <v>2650</v>
      </c>
    </row>
    <row r="660" spans="1:26" ht="13" x14ac:dyDescent="0.3">
      <c r="A660" s="32"/>
      <c r="B660" s="744" t="s">
        <v>70</v>
      </c>
      <c r="C660" s="9"/>
      <c r="D660" s="88" t="s">
        <v>69</v>
      </c>
      <c r="E660" s="9" t="s">
        <v>66</v>
      </c>
      <c r="F660" s="9" t="s">
        <v>67</v>
      </c>
      <c r="G660" s="88">
        <v>870</v>
      </c>
      <c r="H660" s="88"/>
      <c r="I660" s="9"/>
      <c r="J660" s="1061">
        <f>J661</f>
        <v>2173</v>
      </c>
      <c r="K660" s="1061"/>
      <c r="L660" s="1061">
        <v>2000</v>
      </c>
      <c r="M660" s="1550">
        <v>2000</v>
      </c>
      <c r="N660" s="2448">
        <f>N661</f>
        <v>2400</v>
      </c>
      <c r="O660" s="1947">
        <f>O661</f>
        <v>2500.6</v>
      </c>
      <c r="P660" s="1941">
        <f>P661</f>
        <v>2701.74</v>
      </c>
      <c r="Q660" s="1987">
        <f>Q661</f>
        <v>2900</v>
      </c>
      <c r="R660" s="1988">
        <f>R661</f>
        <v>2980</v>
      </c>
      <c r="V660" s="2448">
        <f>V661</f>
        <v>2500</v>
      </c>
      <c r="W660" s="2522">
        <f>W661</f>
        <v>2650</v>
      </c>
    </row>
    <row r="661" spans="1:26" ht="13" x14ac:dyDescent="0.3">
      <c r="A661" s="32"/>
      <c r="B661" s="2003" t="s">
        <v>68</v>
      </c>
      <c r="C661" s="9"/>
      <c r="D661" s="88"/>
      <c r="E661" s="9"/>
      <c r="F661" s="9" t="s">
        <v>67</v>
      </c>
      <c r="G661" s="88">
        <v>870</v>
      </c>
      <c r="H661" s="9" t="s">
        <v>456</v>
      </c>
      <c r="I661" s="9" t="s">
        <v>464</v>
      </c>
      <c r="J661" s="1061">
        <f>2175-2</f>
        <v>2173</v>
      </c>
      <c r="K661" s="1061"/>
      <c r="L661" s="1061">
        <v>2000</v>
      </c>
      <c r="M661" s="1550">
        <v>2000</v>
      </c>
      <c r="N661" s="2448">
        <v>2400</v>
      </c>
      <c r="O661" s="1947">
        <v>2500.6</v>
      </c>
      <c r="P661" s="1941">
        <v>2701.74</v>
      </c>
      <c r="Q661" s="1987">
        <v>2900</v>
      </c>
      <c r="R661" s="1988">
        <v>2980</v>
      </c>
      <c r="V661" s="2448">
        <v>2500</v>
      </c>
      <c r="W661" s="2522">
        <v>2650</v>
      </c>
    </row>
    <row r="662" spans="1:26" ht="39" hidden="1" x14ac:dyDescent="0.25">
      <c r="A662" s="32"/>
      <c r="B662" s="1993" t="s">
        <v>65</v>
      </c>
      <c r="C662" s="9"/>
      <c r="D662" s="88"/>
      <c r="E662" s="9"/>
      <c r="F662" s="34" t="s">
        <v>63</v>
      </c>
      <c r="G662" s="88"/>
      <c r="H662" s="88"/>
      <c r="I662" s="9"/>
      <c r="J662" s="1061"/>
      <c r="K662" s="1061"/>
      <c r="L662" s="1061"/>
      <c r="M662" s="1124"/>
      <c r="N662" s="2448"/>
      <c r="O662" s="1947"/>
      <c r="P662" s="1941"/>
      <c r="Q662" s="1987"/>
      <c r="R662" s="1988"/>
      <c r="V662" s="2448"/>
      <c r="W662" s="2522"/>
    </row>
    <row r="663" spans="1:26" ht="26" hidden="1" x14ac:dyDescent="0.25">
      <c r="A663" s="32"/>
      <c r="B663" s="1993" t="s">
        <v>4</v>
      </c>
      <c r="C663" s="9"/>
      <c r="D663" s="88"/>
      <c r="E663" s="9"/>
      <c r="F663" s="9" t="s">
        <v>63</v>
      </c>
      <c r="G663" s="9" t="s">
        <v>1</v>
      </c>
      <c r="H663" s="9"/>
      <c r="I663" s="9"/>
      <c r="J663" s="1061"/>
      <c r="K663" s="1061"/>
      <c r="L663" s="1061"/>
      <c r="M663" s="1124"/>
      <c r="N663" s="2448"/>
      <c r="O663" s="1947"/>
      <c r="P663" s="1941"/>
      <c r="Q663" s="1987"/>
      <c r="R663" s="1988"/>
      <c r="V663" s="2448"/>
      <c r="W663" s="2522"/>
    </row>
    <row r="664" spans="1:26" s="83" customFormat="1" ht="13" hidden="1" x14ac:dyDescent="0.3">
      <c r="A664" s="32"/>
      <c r="B664" s="49" t="s">
        <v>64</v>
      </c>
      <c r="C664" s="9"/>
      <c r="D664" s="88"/>
      <c r="E664" s="9"/>
      <c r="F664" s="9" t="s">
        <v>63</v>
      </c>
      <c r="G664" s="9" t="s">
        <v>1</v>
      </c>
      <c r="H664" s="9"/>
      <c r="I664" s="9" t="s">
        <v>62</v>
      </c>
      <c r="J664" s="1061"/>
      <c r="K664" s="1061"/>
      <c r="L664" s="1061"/>
      <c r="M664" s="1124"/>
      <c r="N664" s="2448"/>
      <c r="O664" s="1947"/>
      <c r="P664" s="1941"/>
      <c r="Q664" s="1987"/>
      <c r="R664" s="1988"/>
      <c r="S664" s="2"/>
      <c r="T664" s="2"/>
      <c r="U664" s="2"/>
      <c r="V664" s="2448"/>
      <c r="W664" s="2522"/>
      <c r="X664" s="84"/>
      <c r="Z664" s="2141"/>
    </row>
    <row r="665" spans="1:26" s="83" customFormat="1" ht="26" hidden="1" x14ac:dyDescent="0.3">
      <c r="A665" s="32"/>
      <c r="B665" s="58" t="s">
        <v>29</v>
      </c>
      <c r="C665" s="9"/>
      <c r="D665" s="9" t="s">
        <v>15</v>
      </c>
      <c r="E665" s="9" t="s">
        <v>9</v>
      </c>
      <c r="F665" s="34" t="s">
        <v>27</v>
      </c>
      <c r="G665" s="48"/>
      <c r="H665" s="48"/>
      <c r="I665" s="9"/>
      <c r="J665" s="57">
        <f>J667</f>
        <v>0</v>
      </c>
      <c r="K665" s="1061"/>
      <c r="L665" s="1061"/>
      <c r="M665" s="1124"/>
      <c r="N665" s="2449">
        <f>N667</f>
        <v>0</v>
      </c>
      <c r="O665" s="1953">
        <f>O667</f>
        <v>0</v>
      </c>
      <c r="P665" s="1953">
        <f>P667</f>
        <v>0</v>
      </c>
      <c r="Q665" s="2078">
        <f>Q667</f>
        <v>0</v>
      </c>
      <c r="R665" s="2079">
        <f>R667</f>
        <v>0</v>
      </c>
      <c r="S665" s="2"/>
      <c r="T665" s="2"/>
      <c r="U665" s="2"/>
      <c r="V665" s="2449">
        <f>V667</f>
        <v>0</v>
      </c>
      <c r="W665" s="2527">
        <f>W667</f>
        <v>0</v>
      </c>
      <c r="X665" s="84"/>
      <c r="Z665" s="2141"/>
    </row>
    <row r="666" spans="1:26" s="83" customFormat="1" ht="13" hidden="1" x14ac:dyDescent="0.3">
      <c r="A666" s="32"/>
      <c r="B666" s="2080" t="s">
        <v>28</v>
      </c>
      <c r="C666" s="9"/>
      <c r="D666" s="9"/>
      <c r="E666" s="9"/>
      <c r="F666" s="9" t="s">
        <v>27</v>
      </c>
      <c r="G666" s="9" t="s">
        <v>26</v>
      </c>
      <c r="H666" s="9"/>
      <c r="I666" s="9"/>
      <c r="J666" s="1061"/>
      <c r="K666" s="1061"/>
      <c r="L666" s="1061"/>
      <c r="M666" s="1124"/>
      <c r="N666" s="2448"/>
      <c r="O666" s="1947"/>
      <c r="P666" s="1941"/>
      <c r="Q666" s="1987"/>
      <c r="R666" s="1988"/>
      <c r="S666" s="2"/>
      <c r="T666" s="2"/>
      <c r="U666" s="2"/>
      <c r="V666" s="2448"/>
      <c r="W666" s="2522"/>
      <c r="X666" s="84"/>
      <c r="Z666" s="2141"/>
    </row>
    <row r="667" spans="1:26" s="83" customFormat="1" ht="13" hidden="1" x14ac:dyDescent="0.3">
      <c r="A667" s="32"/>
      <c r="B667" s="744" t="s">
        <v>11</v>
      </c>
      <c r="C667" s="9"/>
      <c r="D667" s="9" t="s">
        <v>15</v>
      </c>
      <c r="E667" s="9" t="s">
        <v>9</v>
      </c>
      <c r="F667" s="9" t="s">
        <v>27</v>
      </c>
      <c r="G667" s="9" t="s">
        <v>26</v>
      </c>
      <c r="H667" s="9"/>
      <c r="I667" s="9" t="s">
        <v>9</v>
      </c>
      <c r="J667" s="1061"/>
      <c r="K667" s="1061"/>
      <c r="L667" s="1061"/>
      <c r="M667" s="1124"/>
      <c r="N667" s="2448"/>
      <c r="O667" s="1947"/>
      <c r="P667" s="1941"/>
      <c r="Q667" s="1987"/>
      <c r="R667" s="1988"/>
      <c r="S667" s="2"/>
      <c r="T667" s="2"/>
      <c r="U667" s="2"/>
      <c r="V667" s="2448"/>
      <c r="W667" s="2522"/>
      <c r="X667" s="84"/>
      <c r="Z667" s="2141"/>
    </row>
    <row r="668" spans="1:26" s="83" customFormat="1" ht="26" hidden="1" x14ac:dyDescent="0.3">
      <c r="A668" s="32"/>
      <c r="B668" s="1098" t="s">
        <v>863</v>
      </c>
      <c r="C668" s="9"/>
      <c r="D668" s="88"/>
      <c r="E668" s="9"/>
      <c r="F668" s="34" t="s">
        <v>862</v>
      </c>
      <c r="G668" s="88"/>
      <c r="H668" s="88"/>
      <c r="I668" s="9"/>
      <c r="J668" s="1061"/>
      <c r="K668" s="1061"/>
      <c r="L668" s="1061"/>
      <c r="M668" s="1124"/>
      <c r="N668" s="2450"/>
      <c r="O668" s="1947"/>
      <c r="P668" s="1941"/>
      <c r="Q668" s="1995"/>
      <c r="R668" s="1985"/>
      <c r="S668" s="2"/>
      <c r="T668" s="2"/>
      <c r="U668" s="2"/>
      <c r="V668" s="2450"/>
      <c r="W668" s="2521"/>
      <c r="X668" s="84"/>
      <c r="Z668" s="2141"/>
    </row>
    <row r="669" spans="1:26" s="83" customFormat="1" ht="26" hidden="1" x14ac:dyDescent="0.3">
      <c r="A669" s="32"/>
      <c r="B669" s="1993" t="s">
        <v>4</v>
      </c>
      <c r="C669" s="89"/>
      <c r="D669" s="9" t="s">
        <v>52</v>
      </c>
      <c r="E669" s="9" t="s">
        <v>58</v>
      </c>
      <c r="F669" s="9" t="s">
        <v>862</v>
      </c>
      <c r="G669" s="88">
        <v>240</v>
      </c>
      <c r="H669" s="88"/>
      <c r="I669" s="1063"/>
      <c r="J669" s="1061"/>
      <c r="K669" s="1063"/>
      <c r="L669" s="1063"/>
      <c r="M669" s="84"/>
      <c r="N669" s="2448"/>
      <c r="O669" s="1947"/>
      <c r="P669" s="1941"/>
      <c r="Q669" s="1987"/>
      <c r="R669" s="1988"/>
      <c r="S669" s="2"/>
      <c r="T669" s="2"/>
      <c r="U669" s="2"/>
      <c r="V669" s="2448"/>
      <c r="W669" s="2522"/>
      <c r="X669" s="84"/>
      <c r="Z669" s="2141"/>
    </row>
    <row r="670" spans="1:26" s="83" customFormat="1" ht="13" hidden="1" x14ac:dyDescent="0.3">
      <c r="A670" s="32"/>
      <c r="B670" s="90" t="s">
        <v>60</v>
      </c>
      <c r="C670" s="89"/>
      <c r="D670" s="9"/>
      <c r="E670" s="9"/>
      <c r="F670" s="9" t="s">
        <v>862</v>
      </c>
      <c r="G670" s="88">
        <v>240</v>
      </c>
      <c r="H670" s="9" t="s">
        <v>452</v>
      </c>
      <c r="I670" s="9" t="s">
        <v>539</v>
      </c>
      <c r="J670" s="1061"/>
      <c r="K670" s="1063"/>
      <c r="L670" s="1063"/>
      <c r="M670" s="84"/>
      <c r="N670" s="2448"/>
      <c r="O670" s="1947"/>
      <c r="P670" s="1941"/>
      <c r="Q670" s="1987"/>
      <c r="R670" s="1988"/>
      <c r="S670" s="2"/>
      <c r="T670" s="2"/>
      <c r="U670" s="2"/>
      <c r="V670" s="2448"/>
      <c r="W670" s="2522"/>
      <c r="X670" s="84"/>
      <c r="Z670" s="2141"/>
    </row>
    <row r="671" spans="1:26" s="83" customFormat="1" ht="13" hidden="1" x14ac:dyDescent="0.3">
      <c r="A671" s="85"/>
      <c r="B671" s="49" t="s">
        <v>57</v>
      </c>
      <c r="C671" s="9"/>
      <c r="D671" s="9" t="s">
        <v>52</v>
      </c>
      <c r="E671" s="9" t="s">
        <v>49</v>
      </c>
      <c r="F671" s="34" t="s">
        <v>56</v>
      </c>
      <c r="G671" s="34"/>
      <c r="H671" s="34"/>
      <c r="I671" s="9"/>
      <c r="J671" s="1065">
        <f>J672</f>
        <v>0</v>
      </c>
      <c r="K671" s="1065"/>
      <c r="L671" s="1065">
        <f t="shared" ref="L671:R671" si="243">L672</f>
        <v>0</v>
      </c>
      <c r="M671" s="1552">
        <f t="shared" si="243"/>
        <v>0</v>
      </c>
      <c r="N671" s="2450">
        <f t="shared" si="243"/>
        <v>0</v>
      </c>
      <c r="O671" s="1994">
        <f t="shared" si="243"/>
        <v>0</v>
      </c>
      <c r="P671" s="1939">
        <f t="shared" si="243"/>
        <v>0</v>
      </c>
      <c r="Q671" s="1995">
        <f t="shared" si="243"/>
        <v>0</v>
      </c>
      <c r="R671" s="1985">
        <f t="shared" si="243"/>
        <v>0</v>
      </c>
      <c r="S671" s="84"/>
      <c r="T671" s="84"/>
      <c r="U671" s="84"/>
      <c r="V671" s="2450">
        <f t="shared" ref="V671:W671" si="244">V672</f>
        <v>0</v>
      </c>
      <c r="W671" s="2521">
        <f t="shared" si="244"/>
        <v>0</v>
      </c>
      <c r="X671" s="84"/>
      <c r="Z671" s="2141"/>
    </row>
    <row r="672" spans="1:26" s="83" customFormat="1" ht="26" hidden="1" x14ac:dyDescent="0.3">
      <c r="A672" s="85"/>
      <c r="B672" s="1993" t="s">
        <v>4</v>
      </c>
      <c r="C672" s="9"/>
      <c r="D672" s="9" t="s">
        <v>52</v>
      </c>
      <c r="E672" s="9" t="s">
        <v>49</v>
      </c>
      <c r="F672" s="9" t="s">
        <v>56</v>
      </c>
      <c r="G672" s="9" t="s">
        <v>1</v>
      </c>
      <c r="H672" s="9"/>
      <c r="I672" s="9"/>
      <c r="J672" s="1063">
        <f>J673</f>
        <v>0</v>
      </c>
      <c r="K672" s="1063"/>
      <c r="L672" s="1063"/>
      <c r="M672" s="1125"/>
      <c r="N672" s="2448">
        <f>N673</f>
        <v>0</v>
      </c>
      <c r="O672" s="1947">
        <f>O673</f>
        <v>0</v>
      </c>
      <c r="P672" s="1941">
        <f>P673</f>
        <v>0</v>
      </c>
      <c r="Q672" s="1987">
        <f>Q673</f>
        <v>0</v>
      </c>
      <c r="R672" s="1988">
        <f>R673</f>
        <v>0</v>
      </c>
      <c r="S672" s="84"/>
      <c r="T672" s="84"/>
      <c r="U672" s="84"/>
      <c r="V672" s="2448">
        <f>V673</f>
        <v>0</v>
      </c>
      <c r="W672" s="2522">
        <f>W673</f>
        <v>0</v>
      </c>
      <c r="X672" s="84"/>
      <c r="Z672" s="2141"/>
    </row>
    <row r="673" spans="1:26" s="83" customFormat="1" ht="13" hidden="1" x14ac:dyDescent="0.3">
      <c r="A673" s="85"/>
      <c r="B673" s="2003" t="s">
        <v>51</v>
      </c>
      <c r="C673" s="9"/>
      <c r="D673" s="9"/>
      <c r="E673" s="9"/>
      <c r="F673" s="9" t="s">
        <v>56</v>
      </c>
      <c r="G673" s="9" t="s">
        <v>1</v>
      </c>
      <c r="H673" s="9"/>
      <c r="I673" s="9" t="s">
        <v>49</v>
      </c>
      <c r="J673" s="1063"/>
      <c r="K673" s="1063"/>
      <c r="L673" s="1063"/>
      <c r="M673" s="1125"/>
      <c r="N673" s="2448"/>
      <c r="O673" s="1947"/>
      <c r="P673" s="1941"/>
      <c r="Q673" s="1987"/>
      <c r="R673" s="1988"/>
      <c r="S673" s="84"/>
      <c r="T673" s="84"/>
      <c r="U673" s="84"/>
      <c r="V673" s="2448"/>
      <c r="W673" s="2522"/>
      <c r="X673" s="84"/>
      <c r="Z673" s="2141"/>
    </row>
    <row r="674" spans="1:26" s="83" customFormat="1" ht="13" hidden="1" x14ac:dyDescent="0.3">
      <c r="A674" s="85"/>
      <c r="B674" s="49" t="s">
        <v>55</v>
      </c>
      <c r="C674" s="9"/>
      <c r="D674" s="9" t="s">
        <v>52</v>
      </c>
      <c r="E674" s="9" t="s">
        <v>49</v>
      </c>
      <c r="F674" s="34" t="s">
        <v>54</v>
      </c>
      <c r="G674" s="9"/>
      <c r="H674" s="9"/>
      <c r="I674" s="9"/>
      <c r="J674" s="1065">
        <f>J675</f>
        <v>94.8</v>
      </c>
      <c r="K674" s="1065"/>
      <c r="L674" s="1065">
        <f t="shared" ref="L674:R674" si="245">L675</f>
        <v>64.8</v>
      </c>
      <c r="M674" s="1552">
        <f t="shared" si="245"/>
        <v>64.8</v>
      </c>
      <c r="N674" s="2450">
        <f t="shared" si="245"/>
        <v>0</v>
      </c>
      <c r="O674" s="1994">
        <f t="shared" si="245"/>
        <v>0</v>
      </c>
      <c r="P674" s="1939">
        <f t="shared" si="245"/>
        <v>0</v>
      </c>
      <c r="Q674" s="1995">
        <f t="shared" si="245"/>
        <v>0</v>
      </c>
      <c r="R674" s="1985">
        <f t="shared" si="245"/>
        <v>0</v>
      </c>
      <c r="S674" s="84"/>
      <c r="T674" s="84"/>
      <c r="U674" s="84"/>
      <c r="V674" s="2450">
        <f t="shared" ref="V674:W674" si="246">V675</f>
        <v>0</v>
      </c>
      <c r="W674" s="2521">
        <f t="shared" si="246"/>
        <v>0</v>
      </c>
      <c r="X674" s="84"/>
      <c r="Z674" s="2141"/>
    </row>
    <row r="675" spans="1:26" s="83" customFormat="1" ht="26" hidden="1" x14ac:dyDescent="0.3">
      <c r="A675" s="85"/>
      <c r="B675" s="1993" t="s">
        <v>4</v>
      </c>
      <c r="C675" s="9"/>
      <c r="D675" s="9" t="s">
        <v>52</v>
      </c>
      <c r="E675" s="9" t="s">
        <v>49</v>
      </c>
      <c r="F675" s="9" t="s">
        <v>54</v>
      </c>
      <c r="G675" s="9" t="s">
        <v>1</v>
      </c>
      <c r="H675" s="9"/>
      <c r="I675" s="9"/>
      <c r="J675" s="1063">
        <f>J676</f>
        <v>94.8</v>
      </c>
      <c r="K675" s="1063"/>
      <c r="L675" s="1063">
        <v>64.8</v>
      </c>
      <c r="M675" s="1125">
        <v>64.8</v>
      </c>
      <c r="N675" s="2448">
        <f>N676</f>
        <v>0</v>
      </c>
      <c r="O675" s="1947">
        <f>O676</f>
        <v>0</v>
      </c>
      <c r="P675" s="1941">
        <f>P676</f>
        <v>0</v>
      </c>
      <c r="Q675" s="1987">
        <f>Q676</f>
        <v>0</v>
      </c>
      <c r="R675" s="1988">
        <f>R676</f>
        <v>0</v>
      </c>
      <c r="S675" s="84"/>
      <c r="T675" s="84"/>
      <c r="U675" s="84"/>
      <c r="V675" s="2448">
        <f>V676</f>
        <v>0</v>
      </c>
      <c r="W675" s="2522">
        <f>W676</f>
        <v>0</v>
      </c>
      <c r="X675" s="84"/>
      <c r="Z675" s="2141"/>
    </row>
    <row r="676" spans="1:26" s="83" customFormat="1" ht="13" hidden="1" x14ac:dyDescent="0.3">
      <c r="A676" s="85"/>
      <c r="B676" s="2003" t="s">
        <v>51</v>
      </c>
      <c r="C676" s="9"/>
      <c r="D676" s="9"/>
      <c r="E676" s="9"/>
      <c r="F676" s="9" t="s">
        <v>54</v>
      </c>
      <c r="G676" s="9" t="s">
        <v>1</v>
      </c>
      <c r="H676" s="9"/>
      <c r="I676" s="9" t="s">
        <v>49</v>
      </c>
      <c r="J676" s="1063">
        <v>94.8</v>
      </c>
      <c r="K676" s="1063"/>
      <c r="L676" s="1063">
        <v>64.8</v>
      </c>
      <c r="M676" s="1125">
        <v>64.8</v>
      </c>
      <c r="N676" s="2448"/>
      <c r="O676" s="1947"/>
      <c r="P676" s="1941"/>
      <c r="Q676" s="1987"/>
      <c r="R676" s="1988"/>
      <c r="S676" s="84"/>
      <c r="T676" s="84"/>
      <c r="U676" s="84"/>
      <c r="V676" s="2448"/>
      <c r="W676" s="2522"/>
      <c r="X676" s="84"/>
      <c r="Z676" s="2141"/>
    </row>
    <row r="677" spans="1:26" s="83" customFormat="1" ht="13" hidden="1" x14ac:dyDescent="0.3">
      <c r="A677" s="85"/>
      <c r="B677" s="262" t="s">
        <v>1178</v>
      </c>
      <c r="C677" s="9"/>
      <c r="D677" s="94"/>
      <c r="E677" s="34"/>
      <c r="F677" s="79" t="s">
        <v>1177</v>
      </c>
      <c r="G677" s="9"/>
      <c r="H677" s="9"/>
      <c r="I677" s="33"/>
      <c r="J677" s="1125"/>
      <c r="K677" s="1122"/>
      <c r="L677" s="1122"/>
      <c r="M677" s="1122"/>
      <c r="N677" s="2448">
        <f>N678</f>
        <v>0</v>
      </c>
      <c r="O677" s="2394"/>
      <c r="P677" s="2394"/>
      <c r="Q677" s="2156"/>
      <c r="R677" s="2157"/>
      <c r="S677" s="2395"/>
      <c r="T677" s="2395"/>
      <c r="U677" s="2395"/>
      <c r="V677" s="2448">
        <f t="shared" ref="V677:W679" si="247">V678</f>
        <v>0</v>
      </c>
      <c r="W677" s="2522">
        <f t="shared" si="247"/>
        <v>0</v>
      </c>
      <c r="X677" s="84"/>
      <c r="Z677" s="2141"/>
    </row>
    <row r="678" spans="1:26" s="83" customFormat="1" ht="26" hidden="1" x14ac:dyDescent="0.3">
      <c r="A678" s="85"/>
      <c r="B678" s="2168" t="s">
        <v>948</v>
      </c>
      <c r="C678" s="9"/>
      <c r="D678" s="94"/>
      <c r="E678" s="34"/>
      <c r="F678" s="77" t="s">
        <v>1177</v>
      </c>
      <c r="G678" s="9" t="s">
        <v>955</v>
      </c>
      <c r="H678" s="9"/>
      <c r="I678" s="33"/>
      <c r="J678" s="1125"/>
      <c r="K678" s="1122"/>
      <c r="L678" s="1122"/>
      <c r="M678" s="1122"/>
      <c r="N678" s="2448">
        <f>N679</f>
        <v>0</v>
      </c>
      <c r="O678" s="2394"/>
      <c r="P678" s="2394"/>
      <c r="Q678" s="2156"/>
      <c r="R678" s="2157"/>
      <c r="S678" s="2395"/>
      <c r="T678" s="2395"/>
      <c r="U678" s="2395"/>
      <c r="V678" s="2448">
        <f t="shared" si="247"/>
        <v>0</v>
      </c>
      <c r="W678" s="2522">
        <f t="shared" si="247"/>
        <v>0</v>
      </c>
      <c r="X678" s="84"/>
      <c r="Z678" s="2141"/>
    </row>
    <row r="679" spans="1:26" s="83" customFormat="1" ht="13" hidden="1" x14ac:dyDescent="0.3">
      <c r="A679" s="85"/>
      <c r="B679" s="2012" t="s">
        <v>16</v>
      </c>
      <c r="C679" s="89"/>
      <c r="D679" s="9" t="s">
        <v>44</v>
      </c>
      <c r="E679" s="9" t="s">
        <v>76</v>
      </c>
      <c r="F679" s="77" t="s">
        <v>1177</v>
      </c>
      <c r="G679" s="9" t="s">
        <v>1</v>
      </c>
      <c r="H679" s="33"/>
      <c r="I679" s="89"/>
      <c r="J679" s="1125"/>
      <c r="K679" s="1122"/>
      <c r="L679" s="1122"/>
      <c r="M679" s="1122"/>
      <c r="N679" s="2448">
        <f>N680</f>
        <v>0</v>
      </c>
      <c r="O679" s="2394"/>
      <c r="P679" s="2394"/>
      <c r="Q679" s="2156"/>
      <c r="R679" s="2157"/>
      <c r="S679" s="2395"/>
      <c r="T679" s="2395"/>
      <c r="U679" s="2395"/>
      <c r="V679" s="2448">
        <f t="shared" si="247"/>
        <v>0</v>
      </c>
      <c r="W679" s="2522">
        <f t="shared" si="247"/>
        <v>0</v>
      </c>
      <c r="X679" s="84"/>
      <c r="Z679" s="2141"/>
    </row>
    <row r="680" spans="1:26" s="83" customFormat="1" ht="13" hidden="1" x14ac:dyDescent="0.3">
      <c r="A680" s="85"/>
      <c r="B680" s="90" t="s">
        <v>34</v>
      </c>
      <c r="C680" s="89"/>
      <c r="D680" s="9" t="s">
        <v>44</v>
      </c>
      <c r="E680" s="9" t="s">
        <v>76</v>
      </c>
      <c r="F680" s="77" t="s">
        <v>1177</v>
      </c>
      <c r="G680" s="9" t="s">
        <v>1</v>
      </c>
      <c r="H680" s="33" t="s">
        <v>463</v>
      </c>
      <c r="I680" s="33" t="s">
        <v>495</v>
      </c>
      <c r="J680" s="1125"/>
      <c r="K680" s="1122"/>
      <c r="L680" s="1122"/>
      <c r="M680" s="1122"/>
      <c r="N680" s="2448">
        <v>0</v>
      </c>
      <c r="O680" s="2394"/>
      <c r="P680" s="2394"/>
      <c r="Q680" s="2156"/>
      <c r="R680" s="2157"/>
      <c r="S680" s="2395"/>
      <c r="T680" s="2395"/>
      <c r="U680" s="2395"/>
      <c r="V680" s="2448">
        <v>0</v>
      </c>
      <c r="W680" s="2522">
        <v>0</v>
      </c>
      <c r="X680" s="84"/>
      <c r="Z680" s="2141"/>
    </row>
    <row r="681" spans="1:26" s="83" customFormat="1" ht="13" x14ac:dyDescent="0.3">
      <c r="A681" s="85"/>
      <c r="B681" s="49" t="s">
        <v>57</v>
      </c>
      <c r="C681" s="9"/>
      <c r="D681" s="9"/>
      <c r="E681" s="9"/>
      <c r="F681" s="89" t="s">
        <v>536</v>
      </c>
      <c r="G681" s="9"/>
      <c r="H681" s="9"/>
      <c r="I681" s="535"/>
      <c r="J681" s="1125"/>
      <c r="K681" s="1122"/>
      <c r="L681" s="1122"/>
      <c r="M681" s="1122"/>
      <c r="N681" s="2450">
        <f>N683</f>
        <v>800</v>
      </c>
      <c r="O681" s="2081"/>
      <c r="P681" s="2081"/>
      <c r="Q681" s="1995">
        <f>Q683</f>
        <v>902.4</v>
      </c>
      <c r="R681" s="1985">
        <f>R683</f>
        <v>248.7</v>
      </c>
      <c r="S681" s="84"/>
      <c r="T681" s="84"/>
      <c r="U681" s="84"/>
      <c r="V681" s="2450">
        <f>V683</f>
        <v>100</v>
      </c>
      <c r="W681" s="2521">
        <f>W683</f>
        <v>500</v>
      </c>
      <c r="X681" s="84"/>
      <c r="Z681" s="2141"/>
    </row>
    <row r="682" spans="1:26" s="83" customFormat="1" ht="26" x14ac:dyDescent="0.3">
      <c r="A682" s="85"/>
      <c r="B682" s="724" t="s">
        <v>948</v>
      </c>
      <c r="C682" s="9"/>
      <c r="D682" s="9"/>
      <c r="E682" s="9"/>
      <c r="F682" s="33" t="s">
        <v>536</v>
      </c>
      <c r="G682" s="9" t="s">
        <v>955</v>
      </c>
      <c r="H682" s="9"/>
      <c r="I682" s="535"/>
      <c r="J682" s="1125"/>
      <c r="K682" s="1122"/>
      <c r="L682" s="1122"/>
      <c r="M682" s="1122"/>
      <c r="N682" s="2448">
        <f>N683</f>
        <v>800</v>
      </c>
      <c r="O682" s="2081"/>
      <c r="P682" s="2081"/>
      <c r="Q682" s="1995"/>
      <c r="R682" s="1985"/>
      <c r="S682" s="84"/>
      <c r="T682" s="84"/>
      <c r="U682" s="84"/>
      <c r="V682" s="2450">
        <f t="shared" ref="V682:W682" si="248">V683</f>
        <v>100</v>
      </c>
      <c r="W682" s="2521">
        <f t="shared" si="248"/>
        <v>500</v>
      </c>
      <c r="X682" s="84"/>
      <c r="Z682" s="2141"/>
    </row>
    <row r="683" spans="1:26" ht="13" x14ac:dyDescent="0.3">
      <c r="A683" s="85"/>
      <c r="B683" s="744" t="s">
        <v>16</v>
      </c>
      <c r="C683" s="9"/>
      <c r="D683" s="9"/>
      <c r="E683" s="9"/>
      <c r="F683" s="33" t="s">
        <v>536</v>
      </c>
      <c r="G683" s="9" t="s">
        <v>1</v>
      </c>
      <c r="H683" s="9"/>
      <c r="I683" s="535"/>
      <c r="J683" s="1125"/>
      <c r="K683" s="1122"/>
      <c r="L683" s="1122"/>
      <c r="M683" s="1122"/>
      <c r="N683" s="2448">
        <f>N684</f>
        <v>800</v>
      </c>
      <c r="O683" s="2081"/>
      <c r="P683" s="2081"/>
      <c r="Q683" s="1987">
        <f>Q684</f>
        <v>902.4</v>
      </c>
      <c r="R683" s="1988">
        <f>R684</f>
        <v>248.7</v>
      </c>
      <c r="S683" s="84"/>
      <c r="T683" s="84"/>
      <c r="U683" s="84"/>
      <c r="V683" s="2448">
        <f>V684</f>
        <v>100</v>
      </c>
      <c r="W683" s="2522">
        <f>W684</f>
        <v>500</v>
      </c>
      <c r="X683" s="1"/>
    </row>
    <row r="684" spans="1:26" ht="13" x14ac:dyDescent="0.3">
      <c r="A684" s="85"/>
      <c r="B684" s="2003" t="s">
        <v>51</v>
      </c>
      <c r="C684" s="9"/>
      <c r="D684" s="9"/>
      <c r="E684" s="9"/>
      <c r="F684" s="33" t="s">
        <v>536</v>
      </c>
      <c r="G684" s="9" t="s">
        <v>1</v>
      </c>
      <c r="H684" s="9" t="s">
        <v>452</v>
      </c>
      <c r="I684" s="535" t="s">
        <v>534</v>
      </c>
      <c r="J684" s="1125"/>
      <c r="K684" s="1122"/>
      <c r="L684" s="1122"/>
      <c r="M684" s="1122"/>
      <c r="N684" s="2448">
        <v>800</v>
      </c>
      <c r="O684" s="2081"/>
      <c r="P684" s="2081"/>
      <c r="Q684" s="1987">
        <v>902.4</v>
      </c>
      <c r="R684" s="1988">
        <v>248.7</v>
      </c>
      <c r="S684" s="84"/>
      <c r="T684" s="84"/>
      <c r="U684" s="84"/>
      <c r="V684" s="2448">
        <v>100</v>
      </c>
      <c r="W684" s="2522">
        <v>500</v>
      </c>
      <c r="X684" s="1"/>
    </row>
    <row r="685" spans="1:26" s="83" customFormat="1" ht="13" x14ac:dyDescent="0.3">
      <c r="A685" s="85"/>
      <c r="B685" s="537" t="s">
        <v>535</v>
      </c>
      <c r="C685" s="9"/>
      <c r="D685" s="9"/>
      <c r="E685" s="9"/>
      <c r="F685" s="89" t="s">
        <v>54</v>
      </c>
      <c r="G685" s="9"/>
      <c r="H685" s="9"/>
      <c r="I685" s="535"/>
      <c r="J685" s="1125"/>
      <c r="K685" s="1122"/>
      <c r="L685" s="1122"/>
      <c r="M685" s="1122"/>
      <c r="N685" s="2450">
        <f>N687</f>
        <v>94.8</v>
      </c>
      <c r="O685" s="2081"/>
      <c r="P685" s="2081"/>
      <c r="Q685" s="1995"/>
      <c r="R685" s="1985"/>
      <c r="S685" s="84"/>
      <c r="T685" s="84"/>
      <c r="U685" s="84"/>
      <c r="V685" s="2450">
        <f>V687</f>
        <v>94.8</v>
      </c>
      <c r="W685" s="2521">
        <f>W687</f>
        <v>94.8</v>
      </c>
      <c r="X685" s="84"/>
      <c r="Z685" s="2141"/>
    </row>
    <row r="686" spans="1:26" s="83" customFormat="1" ht="26" x14ac:dyDescent="0.3">
      <c r="A686" s="85"/>
      <c r="B686" s="724" t="s">
        <v>948</v>
      </c>
      <c r="C686" s="9"/>
      <c r="D686" s="9"/>
      <c r="E686" s="9"/>
      <c r="F686" s="33" t="s">
        <v>54</v>
      </c>
      <c r="G686" s="9" t="s">
        <v>955</v>
      </c>
      <c r="H686" s="9"/>
      <c r="I686" s="535"/>
      <c r="J686" s="1125"/>
      <c r="K686" s="1122"/>
      <c r="L686" s="1122"/>
      <c r="M686" s="1122"/>
      <c r="N686" s="2448">
        <f>N687</f>
        <v>94.8</v>
      </c>
      <c r="O686" s="2081"/>
      <c r="P686" s="2081"/>
      <c r="Q686" s="1995"/>
      <c r="R686" s="1985"/>
      <c r="S686" s="84"/>
      <c r="T686" s="84"/>
      <c r="U686" s="84"/>
      <c r="V686" s="2450">
        <f t="shared" ref="V686:W686" si="249">V687</f>
        <v>94.8</v>
      </c>
      <c r="W686" s="2521">
        <f t="shared" si="249"/>
        <v>94.8</v>
      </c>
      <c r="X686" s="84"/>
      <c r="Z686" s="2141"/>
    </row>
    <row r="687" spans="1:26" s="83" customFormat="1" ht="13" x14ac:dyDescent="0.3">
      <c r="A687" s="85"/>
      <c r="B687" s="744" t="s">
        <v>16</v>
      </c>
      <c r="C687" s="9"/>
      <c r="D687" s="9"/>
      <c r="E687" s="9"/>
      <c r="F687" s="33" t="s">
        <v>54</v>
      </c>
      <c r="G687" s="9" t="s">
        <v>1</v>
      </c>
      <c r="H687" s="9"/>
      <c r="I687" s="535"/>
      <c r="J687" s="1125"/>
      <c r="K687" s="1122"/>
      <c r="L687" s="1122"/>
      <c r="M687" s="1122"/>
      <c r="N687" s="2448">
        <f>N688</f>
        <v>94.8</v>
      </c>
      <c r="O687" s="2081"/>
      <c r="P687" s="2081"/>
      <c r="Q687" s="1987"/>
      <c r="R687" s="1988"/>
      <c r="S687" s="84"/>
      <c r="T687" s="84"/>
      <c r="U687" s="84"/>
      <c r="V687" s="2448">
        <f>V688</f>
        <v>94.8</v>
      </c>
      <c r="W687" s="2522">
        <f>W688</f>
        <v>94.8</v>
      </c>
      <c r="X687" s="84"/>
      <c r="Z687" s="2141"/>
    </row>
    <row r="688" spans="1:26" s="83" customFormat="1" ht="13" x14ac:dyDescent="0.3">
      <c r="A688" s="85"/>
      <c r="B688" s="2003" t="s">
        <v>51</v>
      </c>
      <c r="C688" s="9"/>
      <c r="D688" s="9"/>
      <c r="E688" s="9"/>
      <c r="F688" s="33" t="s">
        <v>54</v>
      </c>
      <c r="G688" s="9" t="s">
        <v>1</v>
      </c>
      <c r="H688" s="9" t="s">
        <v>452</v>
      </c>
      <c r="I688" s="535" t="s">
        <v>534</v>
      </c>
      <c r="J688" s="1125"/>
      <c r="K688" s="1122"/>
      <c r="L688" s="1122"/>
      <c r="M688" s="1122"/>
      <c r="N688" s="2448">
        <v>94.8</v>
      </c>
      <c r="O688" s="2081"/>
      <c r="P688" s="2081"/>
      <c r="Q688" s="1987"/>
      <c r="R688" s="1988"/>
      <c r="S688" s="84"/>
      <c r="T688" s="84"/>
      <c r="U688" s="84"/>
      <c r="V688" s="2448">
        <v>94.8</v>
      </c>
      <c r="W688" s="2522">
        <v>94.8</v>
      </c>
      <c r="X688" s="84"/>
      <c r="Z688" s="2141"/>
    </row>
    <row r="689" spans="1:26" s="83" customFormat="1" ht="39" hidden="1" x14ac:dyDescent="0.3">
      <c r="A689" s="85"/>
      <c r="B689" s="533" t="s">
        <v>788</v>
      </c>
      <c r="C689" s="9"/>
      <c r="D689" s="9"/>
      <c r="E689" s="9"/>
      <c r="F689" s="89" t="s">
        <v>789</v>
      </c>
      <c r="G689" s="9"/>
      <c r="H689" s="9"/>
      <c r="I689" s="535"/>
      <c r="J689" s="1125"/>
      <c r="K689" s="1122"/>
      <c r="L689" s="1122"/>
      <c r="M689" s="1122"/>
      <c r="N689" s="2450">
        <f>N690</f>
        <v>0</v>
      </c>
      <c r="O689" s="2081"/>
      <c r="P689" s="2081"/>
      <c r="Q689" s="1995">
        <f>Q690</f>
        <v>0</v>
      </c>
      <c r="R689" s="1985">
        <f>R690</f>
        <v>0</v>
      </c>
      <c r="S689" s="84"/>
      <c r="T689" s="84"/>
      <c r="U689" s="84"/>
      <c r="V689" s="2450">
        <f>V690</f>
        <v>0</v>
      </c>
      <c r="W689" s="2521">
        <f>W690</f>
        <v>0</v>
      </c>
      <c r="X689" s="84"/>
      <c r="Z689" s="2141"/>
    </row>
    <row r="690" spans="1:26" s="83" customFormat="1" ht="13" hidden="1" x14ac:dyDescent="0.3">
      <c r="A690" s="842"/>
      <c r="B690" s="744" t="s">
        <v>16</v>
      </c>
      <c r="C690" s="409" t="s">
        <v>430</v>
      </c>
      <c r="D690" s="409" t="s">
        <v>456</v>
      </c>
      <c r="E690" s="409" t="s">
        <v>506</v>
      </c>
      <c r="F690" s="33" t="s">
        <v>789</v>
      </c>
      <c r="G690" s="532" t="s">
        <v>1</v>
      </c>
      <c r="H690" s="531"/>
      <c r="I690" s="529"/>
      <c r="J690" s="269"/>
      <c r="K690" s="830"/>
      <c r="L690" s="2"/>
      <c r="M690" s="2"/>
      <c r="N690" s="2459">
        <f>N691</f>
        <v>0</v>
      </c>
      <c r="O690" s="2082"/>
      <c r="P690" s="2082"/>
      <c r="Q690" s="2083">
        <f>Q691</f>
        <v>0</v>
      </c>
      <c r="R690" s="2084">
        <f>R691</f>
        <v>0</v>
      </c>
      <c r="S690" s="1"/>
      <c r="T690" s="1"/>
      <c r="U690" s="1"/>
      <c r="V690" s="2459">
        <f>V691</f>
        <v>0</v>
      </c>
      <c r="W690" s="2531">
        <f>W691</f>
        <v>0</v>
      </c>
      <c r="X690" s="84"/>
      <c r="Z690" s="2141"/>
    </row>
    <row r="691" spans="1:26" s="83" customFormat="1" ht="26.5" hidden="1" customHeight="1" x14ac:dyDescent="0.3">
      <c r="A691" s="843"/>
      <c r="B691" s="534" t="s">
        <v>419</v>
      </c>
      <c r="C691" s="409" t="s">
        <v>430</v>
      </c>
      <c r="D691" s="409" t="s">
        <v>456</v>
      </c>
      <c r="E691" s="409" t="s">
        <v>506</v>
      </c>
      <c r="F691" s="33" t="s">
        <v>789</v>
      </c>
      <c r="G691" s="532" t="s">
        <v>1</v>
      </c>
      <c r="H691" s="9" t="s">
        <v>456</v>
      </c>
      <c r="I691" s="9" t="s">
        <v>506</v>
      </c>
      <c r="J691" s="269"/>
      <c r="K691" s="830"/>
      <c r="L691" s="2"/>
      <c r="M691" s="2"/>
      <c r="N691" s="2459">
        <v>0</v>
      </c>
      <c r="O691" s="2082"/>
      <c r="P691" s="2082"/>
      <c r="Q691" s="2083">
        <v>0</v>
      </c>
      <c r="R691" s="2084">
        <v>0</v>
      </c>
      <c r="S691" s="1"/>
      <c r="T691" s="1"/>
      <c r="U691" s="1"/>
      <c r="V691" s="2459">
        <v>0</v>
      </c>
      <c r="W691" s="2531">
        <v>0</v>
      </c>
      <c r="X691" s="84"/>
      <c r="Z691" s="2141"/>
    </row>
    <row r="692" spans="1:26" ht="39.65" customHeight="1" x14ac:dyDescent="0.3">
      <c r="A692" s="85"/>
      <c r="B692" s="2085" t="s">
        <v>53</v>
      </c>
      <c r="C692" s="9"/>
      <c r="D692" s="9" t="s">
        <v>52</v>
      </c>
      <c r="E692" s="9" t="s">
        <v>49</v>
      </c>
      <c r="F692" s="34" t="s">
        <v>50</v>
      </c>
      <c r="G692" s="9"/>
      <c r="H692" s="9"/>
      <c r="I692" s="9"/>
      <c r="J692" s="1064">
        <f>J694</f>
        <v>3163.5070000000001</v>
      </c>
      <c r="K692" s="1065"/>
      <c r="L692" s="1065">
        <f t="shared" ref="L692:R692" si="250">L694</f>
        <v>0</v>
      </c>
      <c r="M692" s="1552">
        <f t="shared" si="250"/>
        <v>0</v>
      </c>
      <c r="N692" s="2450">
        <f>N694</f>
        <v>2800</v>
      </c>
      <c r="O692" s="1994">
        <f t="shared" si="250"/>
        <v>0</v>
      </c>
      <c r="P692" s="1939">
        <f t="shared" si="250"/>
        <v>0</v>
      </c>
      <c r="Q692" s="1995">
        <f t="shared" si="250"/>
        <v>504</v>
      </c>
      <c r="R692" s="1985">
        <f t="shared" si="250"/>
        <v>304</v>
      </c>
      <c r="S692" s="84"/>
      <c r="T692" s="84"/>
      <c r="U692" s="84"/>
      <c r="V692" s="2450">
        <f>V694</f>
        <v>291.19</v>
      </c>
      <c r="W692" s="2521">
        <f>W694</f>
        <v>450.28699999999998</v>
      </c>
    </row>
    <row r="693" spans="1:26" ht="39.65" customHeight="1" x14ac:dyDescent="0.3">
      <c r="A693" s="85"/>
      <c r="B693" s="724" t="s">
        <v>948</v>
      </c>
      <c r="C693" s="9"/>
      <c r="D693" s="9"/>
      <c r="E693" s="9"/>
      <c r="F693" s="9" t="s">
        <v>50</v>
      </c>
      <c r="G693" s="9" t="s">
        <v>955</v>
      </c>
      <c r="H693" s="9"/>
      <c r="I693" s="9"/>
      <c r="J693" s="1064"/>
      <c r="K693" s="1065"/>
      <c r="L693" s="1065"/>
      <c r="M693" s="1552"/>
      <c r="N693" s="2448">
        <f>N694</f>
        <v>2800</v>
      </c>
      <c r="O693" s="1994"/>
      <c r="P693" s="1939"/>
      <c r="Q693" s="1995"/>
      <c r="R693" s="1985"/>
      <c r="S693" s="84"/>
      <c r="T693" s="84"/>
      <c r="U693" s="84"/>
      <c r="V693" s="2450">
        <f t="shared" ref="V693:W693" si="251">V694</f>
        <v>291.19</v>
      </c>
      <c r="W693" s="2521">
        <f t="shared" si="251"/>
        <v>450.28699999999998</v>
      </c>
    </row>
    <row r="694" spans="1:26" ht="13" x14ac:dyDescent="0.3">
      <c r="A694" s="85"/>
      <c r="B694" s="744" t="s">
        <v>16</v>
      </c>
      <c r="C694" s="9"/>
      <c r="D694" s="9" t="s">
        <v>52</v>
      </c>
      <c r="E694" s="9" t="s">
        <v>49</v>
      </c>
      <c r="F694" s="9" t="s">
        <v>50</v>
      </c>
      <c r="G694" s="9" t="s">
        <v>1</v>
      </c>
      <c r="H694" s="9"/>
      <c r="I694" s="9"/>
      <c r="J694" s="1061">
        <f>J695</f>
        <v>3163.5070000000001</v>
      </c>
      <c r="K694" s="1065"/>
      <c r="L694" s="1065"/>
      <c r="M694" s="1552"/>
      <c r="N694" s="2448">
        <f>N695</f>
        <v>2800</v>
      </c>
      <c r="O694" s="1947">
        <f>O695</f>
        <v>0</v>
      </c>
      <c r="P694" s="1941">
        <f>P695</f>
        <v>0</v>
      </c>
      <c r="Q694" s="1987">
        <f>Q695</f>
        <v>504</v>
      </c>
      <c r="R694" s="1988">
        <f>R695</f>
        <v>304</v>
      </c>
      <c r="S694" s="84"/>
      <c r="T694" s="84"/>
      <c r="U694" s="84"/>
      <c r="V694" s="2448">
        <f>V695</f>
        <v>291.19</v>
      </c>
      <c r="W694" s="2522">
        <f>W695</f>
        <v>450.28699999999998</v>
      </c>
    </row>
    <row r="695" spans="1:26" ht="28.5" customHeight="1" x14ac:dyDescent="0.3">
      <c r="A695" s="85"/>
      <c r="B695" s="2003" t="s">
        <v>51</v>
      </c>
      <c r="C695" s="9"/>
      <c r="D695" s="9"/>
      <c r="E695" s="9"/>
      <c r="F695" s="9" t="s">
        <v>50</v>
      </c>
      <c r="G695" s="9" t="s">
        <v>1</v>
      </c>
      <c r="H695" s="9" t="s">
        <v>452</v>
      </c>
      <c r="I695" s="9" t="s">
        <v>534</v>
      </c>
      <c r="J695" s="1126">
        <v>3163.5070000000001</v>
      </c>
      <c r="K695" s="1065"/>
      <c r="L695" s="1065"/>
      <c r="M695" s="1552"/>
      <c r="N695" s="2448">
        <v>2800</v>
      </c>
      <c r="O695" s="1947"/>
      <c r="P695" s="1941"/>
      <c r="Q695" s="1987">
        <v>504</v>
      </c>
      <c r="R695" s="1988">
        <v>304</v>
      </c>
      <c r="S695" s="84"/>
      <c r="T695" s="84"/>
      <c r="U695" s="84"/>
      <c r="V695" s="2448">
        <v>291.19</v>
      </c>
      <c r="W695" s="2522">
        <v>450.28699999999998</v>
      </c>
    </row>
    <row r="696" spans="1:26" ht="37.5" hidden="1" customHeight="1" x14ac:dyDescent="0.3">
      <c r="A696" s="85"/>
      <c r="B696" s="52" t="s">
        <v>25</v>
      </c>
      <c r="C696" s="9"/>
      <c r="D696" s="34" t="s">
        <v>15</v>
      </c>
      <c r="E696" s="34" t="s">
        <v>13</v>
      </c>
      <c r="F696" s="34" t="s">
        <v>24</v>
      </c>
      <c r="G696" s="48"/>
      <c r="H696" s="48"/>
      <c r="I696" s="34"/>
      <c r="J696" s="131">
        <f>J697</f>
        <v>182.53199999999998</v>
      </c>
      <c r="K696" s="51"/>
      <c r="L696" s="51">
        <f t="shared" ref="L696:R696" si="252">L697</f>
        <v>85</v>
      </c>
      <c r="M696" s="1553">
        <f t="shared" si="252"/>
        <v>85</v>
      </c>
      <c r="N696" s="2450">
        <f t="shared" si="252"/>
        <v>0</v>
      </c>
      <c r="O696" s="1958">
        <f t="shared" si="252"/>
        <v>0</v>
      </c>
      <c r="P696" s="1944">
        <f t="shared" si="252"/>
        <v>0</v>
      </c>
      <c r="Q696" s="1996">
        <f t="shared" si="252"/>
        <v>0</v>
      </c>
      <c r="R696" s="1997">
        <f t="shared" si="252"/>
        <v>0</v>
      </c>
      <c r="S696" s="84"/>
      <c r="T696" s="84"/>
      <c r="U696" s="84"/>
      <c r="V696" s="2450">
        <f t="shared" ref="V696:W696" si="253">V697</f>
        <v>0</v>
      </c>
      <c r="W696" s="2521">
        <f t="shared" si="253"/>
        <v>0</v>
      </c>
    </row>
    <row r="697" spans="1:26" ht="27" hidden="1" customHeight="1" x14ac:dyDescent="0.3">
      <c r="A697" s="85"/>
      <c r="B697" s="49" t="s">
        <v>237</v>
      </c>
      <c r="C697" s="9"/>
      <c r="D697" s="9" t="s">
        <v>15</v>
      </c>
      <c r="E697" s="9" t="s">
        <v>13</v>
      </c>
      <c r="F697" s="34" t="s">
        <v>1006</v>
      </c>
      <c r="G697" s="48"/>
      <c r="H697" s="48"/>
      <c r="I697" s="9"/>
      <c r="J697" s="131">
        <f>J701</f>
        <v>182.53199999999998</v>
      </c>
      <c r="K697" s="51"/>
      <c r="L697" s="51">
        <f t="shared" ref="L697:R697" si="254">L701</f>
        <v>85</v>
      </c>
      <c r="M697" s="1553">
        <f t="shared" si="254"/>
        <v>85</v>
      </c>
      <c r="N697" s="2450">
        <f>N701</f>
        <v>0</v>
      </c>
      <c r="O697" s="1958">
        <f t="shared" si="254"/>
        <v>0</v>
      </c>
      <c r="P697" s="1944">
        <f t="shared" si="254"/>
        <v>0</v>
      </c>
      <c r="Q697" s="1996">
        <f t="shared" si="254"/>
        <v>0</v>
      </c>
      <c r="R697" s="1997">
        <f t="shared" si="254"/>
        <v>0</v>
      </c>
      <c r="S697" s="84"/>
      <c r="T697" s="84"/>
      <c r="U697" s="84"/>
      <c r="V697" s="2450">
        <f>V701</f>
        <v>0</v>
      </c>
      <c r="W697" s="2521">
        <f>W701</f>
        <v>0</v>
      </c>
    </row>
    <row r="698" spans="1:26" ht="28.5" hidden="1" customHeight="1" x14ac:dyDescent="0.3">
      <c r="A698" s="85"/>
      <c r="B698" s="42"/>
      <c r="C698" s="31"/>
      <c r="D698" s="31"/>
      <c r="E698" s="31"/>
      <c r="F698" s="31"/>
      <c r="G698" s="3477"/>
      <c r="H698" s="3478"/>
      <c r="I698" s="3478"/>
      <c r="J698" s="3479"/>
      <c r="K698" s="45"/>
      <c r="L698" s="44"/>
      <c r="M698" s="44"/>
      <c r="N698" s="2486"/>
      <c r="O698" s="2087"/>
      <c r="P698" s="2087"/>
      <c r="Q698" s="2088"/>
      <c r="R698" s="2089"/>
      <c r="S698" s="84"/>
      <c r="T698" s="84"/>
      <c r="U698" s="84"/>
      <c r="V698" s="2486"/>
      <c r="W698" s="2532"/>
    </row>
    <row r="699" spans="1:26" ht="28.5" hidden="1" customHeight="1" x14ac:dyDescent="0.25">
      <c r="A699" s="32"/>
      <c r="B699" s="42"/>
      <c r="C699" s="31"/>
      <c r="D699" s="31"/>
      <c r="E699" s="31"/>
      <c r="F699" s="31"/>
      <c r="G699" s="3477"/>
      <c r="H699" s="3478"/>
      <c r="I699" s="3478"/>
      <c r="J699" s="3479"/>
      <c r="K699" s="41"/>
      <c r="L699" s="2"/>
      <c r="M699" s="2"/>
      <c r="N699" s="2487"/>
      <c r="O699" s="2082"/>
      <c r="P699" s="2082"/>
      <c r="Q699" s="2091"/>
      <c r="R699" s="2092"/>
      <c r="V699" s="2487"/>
      <c r="W699" s="2533"/>
    </row>
    <row r="700" spans="1:26" ht="13" hidden="1" x14ac:dyDescent="0.25">
      <c r="A700" s="32"/>
      <c r="B700" s="2149"/>
      <c r="C700" s="31"/>
      <c r="D700" s="31"/>
      <c r="E700" s="31"/>
      <c r="F700" s="9" t="s">
        <v>1006</v>
      </c>
      <c r="G700" s="2148" t="s">
        <v>1064</v>
      </c>
      <c r="H700" s="2979"/>
      <c r="I700" s="2979"/>
      <c r="J700" s="2980"/>
      <c r="K700" s="41"/>
      <c r="L700" s="2"/>
      <c r="M700" s="2"/>
      <c r="N700" s="2487"/>
      <c r="O700" s="2082"/>
      <c r="P700" s="2082"/>
      <c r="Q700" s="2091"/>
      <c r="R700" s="2092"/>
      <c r="V700" s="2487"/>
      <c r="W700" s="2533"/>
    </row>
    <row r="701" spans="1:26" ht="13" hidden="1" x14ac:dyDescent="0.3">
      <c r="A701" s="32"/>
      <c r="B701" s="2003" t="s">
        <v>94</v>
      </c>
      <c r="C701" s="31"/>
      <c r="D701" s="9" t="s">
        <v>15</v>
      </c>
      <c r="E701" s="9" t="s">
        <v>13</v>
      </c>
      <c r="F701" s="9" t="s">
        <v>1006</v>
      </c>
      <c r="G701" s="33" t="s">
        <v>91</v>
      </c>
      <c r="H701" s="33"/>
      <c r="I701" s="9"/>
      <c r="J701" s="515">
        <f>J702</f>
        <v>182.53199999999998</v>
      </c>
      <c r="K701" s="30"/>
      <c r="L701" s="29">
        <v>85</v>
      </c>
      <c r="M701" s="1569">
        <v>85</v>
      </c>
      <c r="N701" s="2451">
        <f>N702</f>
        <v>0</v>
      </c>
      <c r="O701" s="1961">
        <f>O702</f>
        <v>0</v>
      </c>
      <c r="P701" s="1961">
        <f>P702</f>
        <v>0</v>
      </c>
      <c r="Q701" s="2093">
        <f>Q702</f>
        <v>0</v>
      </c>
      <c r="R701" s="2094">
        <f>R702</f>
        <v>0</v>
      </c>
      <c r="V701" s="2451">
        <f>V702</f>
        <v>0</v>
      </c>
      <c r="W701" s="2524">
        <f>W702</f>
        <v>0</v>
      </c>
    </row>
    <row r="702" spans="1:26" ht="26" hidden="1" x14ac:dyDescent="0.3">
      <c r="A702" s="32"/>
      <c r="B702" s="2012" t="s">
        <v>570</v>
      </c>
      <c r="C702" s="31"/>
      <c r="D702" s="9"/>
      <c r="E702" s="9"/>
      <c r="F702" s="9" t="s">
        <v>48</v>
      </c>
      <c r="G702" s="33" t="s">
        <v>91</v>
      </c>
      <c r="H702" s="33" t="s">
        <v>495</v>
      </c>
      <c r="I702" s="9" t="s">
        <v>539</v>
      </c>
      <c r="J702" s="515">
        <f>85+97.532</f>
        <v>182.53199999999998</v>
      </c>
      <c r="K702" s="30"/>
      <c r="L702" s="29">
        <v>85</v>
      </c>
      <c r="M702" s="1569">
        <v>85</v>
      </c>
      <c r="N702" s="2488"/>
      <c r="O702" s="1961"/>
      <c r="P702" s="1961"/>
      <c r="Q702" s="2093"/>
      <c r="R702" s="2094"/>
      <c r="V702" s="2451"/>
      <c r="W702" s="2524"/>
    </row>
    <row r="703" spans="1:26" ht="33.65" customHeight="1" x14ac:dyDescent="0.25">
      <c r="A703" s="32"/>
      <c r="B703" s="533" t="s">
        <v>788</v>
      </c>
      <c r="C703" s="9"/>
      <c r="D703" s="9"/>
      <c r="E703" s="9"/>
      <c r="F703" s="89" t="s">
        <v>1104</v>
      </c>
      <c r="G703" s="9"/>
      <c r="H703" s="9"/>
      <c r="I703" s="535"/>
      <c r="J703" s="1125"/>
      <c r="K703" s="1122"/>
      <c r="L703" s="1122"/>
      <c r="M703" s="1122"/>
      <c r="N703" s="2453">
        <f>N705</f>
        <v>1300</v>
      </c>
      <c r="O703" s="2151"/>
      <c r="P703" s="2151"/>
      <c r="Q703" s="2152"/>
      <c r="R703" s="2153"/>
      <c r="S703" s="2154"/>
      <c r="T703" s="2154"/>
      <c r="U703" s="2154"/>
      <c r="V703" s="2964">
        <f>V705</f>
        <v>0</v>
      </c>
      <c r="W703" s="2534">
        <f>W705</f>
        <v>0</v>
      </c>
    </row>
    <row r="704" spans="1:26" ht="17.149999999999999" customHeight="1" x14ac:dyDescent="0.3">
      <c r="A704" s="32"/>
      <c r="B704" s="16" t="s">
        <v>1065</v>
      </c>
      <c r="C704" s="9"/>
      <c r="D704" s="9"/>
      <c r="E704" s="9"/>
      <c r="F704" s="33" t="s">
        <v>1104</v>
      </c>
      <c r="G704" s="9" t="s">
        <v>1064</v>
      </c>
      <c r="H704" s="9"/>
      <c r="I704" s="535"/>
      <c r="J704" s="1125"/>
      <c r="K704" s="1122"/>
      <c r="L704" s="1122"/>
      <c r="M704" s="1122"/>
      <c r="N704" s="2454">
        <f>N705</f>
        <v>1300</v>
      </c>
      <c r="O704" s="2151"/>
      <c r="P704" s="2151"/>
      <c r="Q704" s="2152"/>
      <c r="R704" s="2153"/>
      <c r="S704" s="2154"/>
      <c r="T704" s="2154"/>
      <c r="U704" s="2154"/>
      <c r="V704" s="2965">
        <f>V705</f>
        <v>0</v>
      </c>
      <c r="W704" s="2535">
        <f>W705</f>
        <v>0</v>
      </c>
    </row>
    <row r="705" spans="1:23" ht="13" hidden="1" x14ac:dyDescent="0.3">
      <c r="A705" s="32"/>
      <c r="B705" s="16" t="s">
        <v>1112</v>
      </c>
      <c r="C705" s="409" t="s">
        <v>430</v>
      </c>
      <c r="D705" s="409" t="s">
        <v>456</v>
      </c>
      <c r="E705" s="409" t="s">
        <v>506</v>
      </c>
      <c r="F705" s="33" t="s">
        <v>1104</v>
      </c>
      <c r="G705" s="532" t="s">
        <v>1</v>
      </c>
      <c r="H705" s="531"/>
      <c r="I705" s="529"/>
      <c r="J705" s="269"/>
      <c r="K705" s="830"/>
      <c r="L705" s="2"/>
      <c r="M705" s="2"/>
      <c r="N705" s="2455">
        <f>N706</f>
        <v>1300</v>
      </c>
      <c r="O705" s="2151"/>
      <c r="P705" s="2151"/>
      <c r="Q705" s="2152"/>
      <c r="R705" s="2153"/>
      <c r="S705" s="2154"/>
      <c r="T705" s="2154"/>
      <c r="U705" s="2154"/>
      <c r="V705" s="2966">
        <f>V706</f>
        <v>0</v>
      </c>
      <c r="W705" s="2536">
        <f>W706</f>
        <v>0</v>
      </c>
    </row>
    <row r="706" spans="1:23" ht="13" x14ac:dyDescent="0.3">
      <c r="A706" s="32"/>
      <c r="B706" s="744" t="s">
        <v>1112</v>
      </c>
      <c r="C706" s="409" t="s">
        <v>430</v>
      </c>
      <c r="D706" s="409" t="s">
        <v>456</v>
      </c>
      <c r="E706" s="409" t="s">
        <v>506</v>
      </c>
      <c r="F706" s="33" t="s">
        <v>1104</v>
      </c>
      <c r="G706" s="532" t="s">
        <v>1113</v>
      </c>
      <c r="H706" s="9" t="s">
        <v>456</v>
      </c>
      <c r="I706" s="9" t="s">
        <v>506</v>
      </c>
      <c r="J706" s="269"/>
      <c r="K706" s="830"/>
      <c r="L706" s="2"/>
      <c r="M706" s="2"/>
      <c r="N706" s="2455">
        <v>1300</v>
      </c>
      <c r="O706" s="2151"/>
      <c r="P706" s="2151"/>
      <c r="Q706" s="2152"/>
      <c r="R706" s="2153"/>
      <c r="S706" s="2154"/>
      <c r="T706" s="2154"/>
      <c r="U706" s="2154"/>
      <c r="V706" s="2966">
        <v>0</v>
      </c>
      <c r="W706" s="2536">
        <v>0</v>
      </c>
    </row>
    <row r="707" spans="1:23" ht="39" hidden="1" x14ac:dyDescent="0.3">
      <c r="A707" s="32"/>
      <c r="B707" s="533" t="s">
        <v>186</v>
      </c>
      <c r="C707" s="1880"/>
      <c r="D707" s="409"/>
      <c r="E707" s="409"/>
      <c r="F707" s="79" t="s">
        <v>36</v>
      </c>
      <c r="G707" s="532"/>
      <c r="H707" s="9"/>
      <c r="I707" s="9"/>
      <c r="J707" s="2353"/>
      <c r="K707" s="830"/>
      <c r="L707" s="2"/>
      <c r="M707" s="2"/>
      <c r="N707" s="2456">
        <f>N708</f>
        <v>0</v>
      </c>
      <c r="O707" s="2259"/>
      <c r="P707" s="2259"/>
      <c r="Q707" s="2260"/>
      <c r="R707" s="2261"/>
      <c r="S707" s="2354"/>
      <c r="T707" s="2354"/>
      <c r="U707" s="2354"/>
      <c r="V707" s="2967">
        <f t="shared" ref="V707:W709" si="255">V708</f>
        <v>0</v>
      </c>
      <c r="W707" s="2537">
        <f t="shared" si="255"/>
        <v>0</v>
      </c>
    </row>
    <row r="708" spans="1:23" ht="26" hidden="1" x14ac:dyDescent="0.3">
      <c r="A708" s="32"/>
      <c r="B708" s="724" t="s">
        <v>948</v>
      </c>
      <c r="C708" s="1880"/>
      <c r="D708" s="409"/>
      <c r="E708" s="409"/>
      <c r="F708" s="77" t="s">
        <v>36</v>
      </c>
      <c r="G708" s="33" t="s">
        <v>955</v>
      </c>
      <c r="H708" s="33"/>
      <c r="I708" s="9"/>
      <c r="J708" s="2353"/>
      <c r="K708" s="830"/>
      <c r="L708" s="2"/>
      <c r="M708" s="2"/>
      <c r="N708" s="2456">
        <f>N709</f>
        <v>0</v>
      </c>
      <c r="O708" s="2259"/>
      <c r="P708" s="2259"/>
      <c r="Q708" s="2260"/>
      <c r="R708" s="2261"/>
      <c r="S708" s="2354"/>
      <c r="T708" s="2354"/>
      <c r="U708" s="2354"/>
      <c r="V708" s="2967">
        <f t="shared" si="255"/>
        <v>0</v>
      </c>
      <c r="W708" s="2537">
        <f t="shared" si="255"/>
        <v>0</v>
      </c>
    </row>
    <row r="709" spans="1:23" ht="13" hidden="1" x14ac:dyDescent="0.3">
      <c r="A709" s="32"/>
      <c r="B709" s="16" t="s">
        <v>16</v>
      </c>
      <c r="C709" s="1880"/>
      <c r="D709" s="409"/>
      <c r="E709" s="409"/>
      <c r="F709" s="77" t="s">
        <v>36</v>
      </c>
      <c r="G709" s="33" t="s">
        <v>1</v>
      </c>
      <c r="H709" s="33"/>
      <c r="I709" s="9"/>
      <c r="J709" s="2353"/>
      <c r="K709" s="830"/>
      <c r="L709" s="2"/>
      <c r="M709" s="2"/>
      <c r="N709" s="2456">
        <f>N710</f>
        <v>0</v>
      </c>
      <c r="O709" s="2259"/>
      <c r="P709" s="2259"/>
      <c r="Q709" s="2260"/>
      <c r="R709" s="2261"/>
      <c r="S709" s="2354"/>
      <c r="T709" s="2354"/>
      <c r="U709" s="2354"/>
      <c r="V709" s="2967">
        <f t="shared" si="255"/>
        <v>0</v>
      </c>
      <c r="W709" s="2537">
        <f t="shared" si="255"/>
        <v>0</v>
      </c>
    </row>
    <row r="710" spans="1:23" ht="13" hidden="1" x14ac:dyDescent="0.3">
      <c r="A710" s="32"/>
      <c r="B710" s="90" t="s">
        <v>34</v>
      </c>
      <c r="C710" s="1880"/>
      <c r="D710" s="409"/>
      <c r="E710" s="409"/>
      <c r="F710" s="77" t="s">
        <v>36</v>
      </c>
      <c r="G710" s="33" t="s">
        <v>1</v>
      </c>
      <c r="H710" s="33" t="s">
        <v>463</v>
      </c>
      <c r="I710" s="9" t="s">
        <v>495</v>
      </c>
      <c r="J710" s="2353"/>
      <c r="K710" s="830"/>
      <c r="L710" s="2"/>
      <c r="M710" s="2"/>
      <c r="N710" s="2456">
        <v>0</v>
      </c>
      <c r="O710" s="2259"/>
      <c r="P710" s="2259"/>
      <c r="Q710" s="2260"/>
      <c r="R710" s="2261"/>
      <c r="S710" s="2354"/>
      <c r="T710" s="2354"/>
      <c r="U710" s="2354"/>
      <c r="V710" s="2967">
        <v>0</v>
      </c>
      <c r="W710" s="2537">
        <v>0</v>
      </c>
    </row>
    <row r="711" spans="1:23" ht="38.15" customHeight="1" x14ac:dyDescent="0.3">
      <c r="A711" s="32"/>
      <c r="B711" s="90" t="s">
        <v>184</v>
      </c>
      <c r="C711" s="2980"/>
      <c r="D711" s="9"/>
      <c r="E711" s="9"/>
      <c r="F711" s="79" t="s">
        <v>33</v>
      </c>
      <c r="G711" s="33"/>
      <c r="H711" s="33"/>
      <c r="I711" s="9"/>
      <c r="J711" s="515"/>
      <c r="K711" s="30"/>
      <c r="L711" s="29"/>
      <c r="M711" s="1569"/>
      <c r="N711" s="2457">
        <f>N716+N714</f>
        <v>5655</v>
      </c>
      <c r="O711" s="1961"/>
      <c r="P711" s="1961"/>
      <c r="Q711" s="2093"/>
      <c r="R711" s="2094"/>
      <c r="V711" s="2451">
        <f>V716+V714</f>
        <v>5994.3</v>
      </c>
      <c r="W711" s="2524">
        <f>W716+W714</f>
        <v>6353.9579999999996</v>
      </c>
    </row>
    <row r="712" spans="1:23" ht="24" hidden="1" customHeight="1" x14ac:dyDescent="0.3">
      <c r="A712" s="32"/>
      <c r="B712" s="724" t="s">
        <v>948</v>
      </c>
      <c r="C712" s="2980"/>
      <c r="D712" s="9"/>
      <c r="E712" s="9"/>
      <c r="F712" s="77" t="s">
        <v>33</v>
      </c>
      <c r="G712" s="33" t="s">
        <v>955</v>
      </c>
      <c r="H712" s="33"/>
      <c r="I712" s="9"/>
      <c r="J712" s="515"/>
      <c r="K712" s="30"/>
      <c r="L712" s="29"/>
      <c r="M712" s="1569"/>
      <c r="N712" s="2457">
        <f>N713</f>
        <v>0</v>
      </c>
      <c r="O712" s="2259"/>
      <c r="P712" s="2259"/>
      <c r="Q712" s="2260"/>
      <c r="R712" s="2261"/>
      <c r="S712" s="2262"/>
      <c r="T712" s="2262"/>
      <c r="U712" s="2262"/>
      <c r="V712" s="2451">
        <f>V713</f>
        <v>0</v>
      </c>
      <c r="W712" s="2524">
        <f>W713</f>
        <v>0</v>
      </c>
    </row>
    <row r="713" spans="1:23" ht="13" hidden="1" x14ac:dyDescent="0.3">
      <c r="A713" s="32"/>
      <c r="B713" s="16" t="s">
        <v>16</v>
      </c>
      <c r="C713" s="2980"/>
      <c r="D713" s="9"/>
      <c r="E713" s="9"/>
      <c r="F713" s="77" t="s">
        <v>33</v>
      </c>
      <c r="G713" s="33" t="s">
        <v>1</v>
      </c>
      <c r="H713" s="33"/>
      <c r="I713" s="9"/>
      <c r="J713" s="515"/>
      <c r="K713" s="30"/>
      <c r="L713" s="29"/>
      <c r="M713" s="1569"/>
      <c r="N713" s="2457">
        <f>N714</f>
        <v>0</v>
      </c>
      <c r="O713" s="2259"/>
      <c r="P713" s="2259"/>
      <c r="Q713" s="2260"/>
      <c r="R713" s="2261"/>
      <c r="S713" s="2262"/>
      <c r="T713" s="2262"/>
      <c r="U713" s="2262"/>
      <c r="V713" s="2451">
        <f>V714</f>
        <v>0</v>
      </c>
      <c r="W713" s="2524">
        <f>W714</f>
        <v>0</v>
      </c>
    </row>
    <row r="714" spans="1:23" ht="13" hidden="1" x14ac:dyDescent="0.3">
      <c r="A714" s="32"/>
      <c r="B714" s="90" t="s">
        <v>34</v>
      </c>
      <c r="C714" s="2980"/>
      <c r="D714" s="9"/>
      <c r="E714" s="9"/>
      <c r="F714" s="77" t="s">
        <v>33</v>
      </c>
      <c r="G714" s="33" t="s">
        <v>1</v>
      </c>
      <c r="H714" s="33" t="s">
        <v>463</v>
      </c>
      <c r="I714" s="9" t="s">
        <v>495</v>
      </c>
      <c r="J714" s="515"/>
      <c r="K714" s="30"/>
      <c r="L714" s="29"/>
      <c r="M714" s="1569"/>
      <c r="N714" s="2457">
        <v>0</v>
      </c>
      <c r="O714" s="2259"/>
      <c r="P714" s="2259"/>
      <c r="Q714" s="2260"/>
      <c r="R714" s="2261"/>
      <c r="S714" s="2262"/>
      <c r="T714" s="2262"/>
      <c r="U714" s="2262"/>
      <c r="V714" s="2451">
        <v>0</v>
      </c>
      <c r="W714" s="2524">
        <v>0</v>
      </c>
    </row>
    <row r="715" spans="1:23" ht="32.5" customHeight="1" x14ac:dyDescent="0.3">
      <c r="A715" s="32"/>
      <c r="B715" s="2163" t="s">
        <v>1068</v>
      </c>
      <c r="C715" s="2980"/>
      <c r="D715" s="9" t="s">
        <v>1065</v>
      </c>
      <c r="E715" s="9"/>
      <c r="F715" s="77" t="s">
        <v>33</v>
      </c>
      <c r="G715" s="33" t="s">
        <v>1064</v>
      </c>
      <c r="H715" s="33"/>
      <c r="I715" s="9"/>
      <c r="J715" s="515"/>
      <c r="K715" s="30"/>
      <c r="L715" s="29"/>
      <c r="M715" s="1569"/>
      <c r="N715" s="2451">
        <f>N716</f>
        <v>5655</v>
      </c>
      <c r="O715" s="1961"/>
      <c r="P715" s="1961"/>
      <c r="Q715" s="2093"/>
      <c r="R715" s="2094"/>
      <c r="V715" s="2451">
        <f t="shared" ref="V715:W715" si="256">V716</f>
        <v>5994.3</v>
      </c>
      <c r="W715" s="2524">
        <f t="shared" si="256"/>
        <v>6353.9579999999996</v>
      </c>
    </row>
    <row r="716" spans="1:23" ht="39" x14ac:dyDescent="0.3">
      <c r="A716" s="32"/>
      <c r="B716" s="2095" t="s">
        <v>1034</v>
      </c>
      <c r="C716" s="2980"/>
      <c r="D716" s="9"/>
      <c r="E716" s="9"/>
      <c r="F716" s="77" t="s">
        <v>33</v>
      </c>
      <c r="G716" s="33" t="s">
        <v>521</v>
      </c>
      <c r="H716" s="33"/>
      <c r="I716" s="9"/>
      <c r="J716" s="515"/>
      <c r="K716" s="30"/>
      <c r="L716" s="29"/>
      <c r="M716" s="1569"/>
      <c r="N716" s="2451">
        <f>N717</f>
        <v>5655</v>
      </c>
      <c r="O716" s="1961"/>
      <c r="P716" s="1961"/>
      <c r="Q716" s="2093"/>
      <c r="R716" s="2094"/>
      <c r="V716" s="2451">
        <f>V717</f>
        <v>5994.3</v>
      </c>
      <c r="W716" s="2524">
        <f>W717</f>
        <v>6353.9579999999996</v>
      </c>
    </row>
    <row r="717" spans="1:23" ht="13" x14ac:dyDescent="0.3">
      <c r="A717" s="32"/>
      <c r="B717" s="90" t="s">
        <v>34</v>
      </c>
      <c r="C717" s="2980"/>
      <c r="D717" s="9"/>
      <c r="E717" s="9"/>
      <c r="F717" s="77" t="s">
        <v>33</v>
      </c>
      <c r="G717" s="33" t="s">
        <v>521</v>
      </c>
      <c r="H717" s="33" t="s">
        <v>463</v>
      </c>
      <c r="I717" s="9" t="s">
        <v>495</v>
      </c>
      <c r="J717" s="515"/>
      <c r="K717" s="30"/>
      <c r="L717" s="29"/>
      <c r="M717" s="1569"/>
      <c r="N717" s="2451">
        <v>5655</v>
      </c>
      <c r="O717" s="1961"/>
      <c r="P717" s="1961"/>
      <c r="Q717" s="2093"/>
      <c r="R717" s="2094"/>
      <c r="V717" s="2451">
        <v>5994.3</v>
      </c>
      <c r="W717" s="2524">
        <v>6353.9579999999996</v>
      </c>
    </row>
    <row r="718" spans="1:23" ht="39" x14ac:dyDescent="0.3">
      <c r="A718" s="32"/>
      <c r="B718" s="534" t="s">
        <v>918</v>
      </c>
      <c r="C718" s="2980"/>
      <c r="D718" s="9"/>
      <c r="E718" s="9"/>
      <c r="F718" s="79" t="s">
        <v>919</v>
      </c>
      <c r="G718" s="33"/>
      <c r="H718" s="33"/>
      <c r="I718" s="9"/>
      <c r="J718" s="515">
        <f>J722</f>
        <v>153.32</v>
      </c>
      <c r="K718" s="30"/>
      <c r="L718" s="29"/>
      <c r="M718" s="1569"/>
      <c r="N718" s="2452">
        <f>N720</f>
        <v>900</v>
      </c>
      <c r="O718" s="2096">
        <f>O722+O720</f>
        <v>585.81999999999994</v>
      </c>
      <c r="P718" s="2096">
        <f>P722+P720</f>
        <v>610.88699999999994</v>
      </c>
      <c r="Q718" s="2097">
        <f>Q722+Q720</f>
        <v>1200</v>
      </c>
      <c r="R718" s="2098">
        <f>R722+R720</f>
        <v>1200</v>
      </c>
      <c r="V718" s="2452">
        <f>V720</f>
        <v>963</v>
      </c>
      <c r="W718" s="2523">
        <f>W720</f>
        <v>963</v>
      </c>
    </row>
    <row r="719" spans="1:23" ht="26" x14ac:dyDescent="0.3">
      <c r="A719" s="32"/>
      <c r="B719" s="724" t="s">
        <v>948</v>
      </c>
      <c r="C719" s="2980"/>
      <c r="D719" s="9"/>
      <c r="E719" s="9"/>
      <c r="F719" s="77" t="s">
        <v>919</v>
      </c>
      <c r="G719" s="33" t="s">
        <v>955</v>
      </c>
      <c r="H719" s="33"/>
      <c r="I719" s="9"/>
      <c r="J719" s="515"/>
      <c r="K719" s="30"/>
      <c r="L719" s="29"/>
      <c r="M719" s="1569"/>
      <c r="N719" s="2451">
        <f>N720</f>
        <v>900</v>
      </c>
      <c r="O719" s="2096"/>
      <c r="P719" s="2096"/>
      <c r="Q719" s="2097"/>
      <c r="R719" s="2098"/>
      <c r="V719" s="2451">
        <f t="shared" ref="V719:W719" si="257">V720</f>
        <v>963</v>
      </c>
      <c r="W719" s="2524">
        <f t="shared" si="257"/>
        <v>963</v>
      </c>
    </row>
    <row r="720" spans="1:23" ht="13" x14ac:dyDescent="0.3">
      <c r="A720" s="32"/>
      <c r="B720" s="724" t="s">
        <v>16</v>
      </c>
      <c r="C720" s="2980"/>
      <c r="D720" s="9"/>
      <c r="E720" s="9"/>
      <c r="F720" s="77" t="s">
        <v>919</v>
      </c>
      <c r="G720" s="33" t="s">
        <v>1</v>
      </c>
      <c r="H720" s="33"/>
      <c r="I720" s="9"/>
      <c r="J720" s="515"/>
      <c r="K720" s="30"/>
      <c r="L720" s="29"/>
      <c r="M720" s="1569"/>
      <c r="N720" s="2451">
        <f>N721</f>
        <v>900</v>
      </c>
      <c r="O720" s="1961">
        <f>O721</f>
        <v>31.3</v>
      </c>
      <c r="P720" s="1961">
        <f>P721</f>
        <v>34.43</v>
      </c>
      <c r="Q720" s="2093">
        <f>Q721</f>
        <v>1200</v>
      </c>
      <c r="R720" s="2094">
        <f>R721</f>
        <v>1200</v>
      </c>
      <c r="V720" s="2451">
        <f>V721</f>
        <v>963</v>
      </c>
      <c r="W720" s="2524">
        <f>W721</f>
        <v>963</v>
      </c>
    </row>
    <row r="721" spans="1:256" ht="13" x14ac:dyDescent="0.3">
      <c r="A721" s="32"/>
      <c r="B721" s="724" t="s">
        <v>920</v>
      </c>
      <c r="C721" s="2980"/>
      <c r="D721" s="9"/>
      <c r="E721" s="9"/>
      <c r="F721" s="77" t="s">
        <v>919</v>
      </c>
      <c r="G721" s="33" t="s">
        <v>1</v>
      </c>
      <c r="H721" s="33" t="s">
        <v>534</v>
      </c>
      <c r="I721" s="9" t="s">
        <v>488</v>
      </c>
      <c r="J721" s="515"/>
      <c r="K721" s="30"/>
      <c r="L721" s="29"/>
      <c r="M721" s="1569"/>
      <c r="N721" s="2451">
        <v>900</v>
      </c>
      <c r="O721" s="1961">
        <v>31.3</v>
      </c>
      <c r="P721" s="1961">
        <v>34.43</v>
      </c>
      <c r="Q721" s="2093">
        <v>1200</v>
      </c>
      <c r="R721" s="2094">
        <v>1200</v>
      </c>
      <c r="V721" s="2451">
        <v>963</v>
      </c>
      <c r="W721" s="2524">
        <v>963</v>
      </c>
      <c r="X721" s="72"/>
      <c r="AC721" s="1124"/>
    </row>
    <row r="722" spans="1:256" ht="13" hidden="1" x14ac:dyDescent="0.25">
      <c r="A722" s="32"/>
      <c r="B722" s="724" t="s">
        <v>109</v>
      </c>
      <c r="C722" s="70"/>
      <c r="D722" s="9" t="s">
        <v>44</v>
      </c>
      <c r="E722" s="9" t="s">
        <v>41</v>
      </c>
      <c r="F722" s="77" t="s">
        <v>919</v>
      </c>
      <c r="G722" s="33" t="s">
        <v>1</v>
      </c>
      <c r="H722" s="33"/>
      <c r="I722" s="9"/>
      <c r="J722" s="1126">
        <f t="shared" ref="J722:R722" si="258">J723</f>
        <v>153.32</v>
      </c>
      <c r="K722" s="1063">
        <f t="shared" si="258"/>
        <v>172</v>
      </c>
      <c r="L722" s="1063">
        <f t="shared" si="258"/>
        <v>172</v>
      </c>
      <c r="M722" s="1125">
        <f t="shared" si="258"/>
        <v>172</v>
      </c>
      <c r="N722" s="2448">
        <f t="shared" si="258"/>
        <v>0</v>
      </c>
      <c r="O722" s="1947">
        <f t="shared" si="258"/>
        <v>554.52</v>
      </c>
      <c r="P722" s="1941">
        <f t="shared" si="258"/>
        <v>576.45699999999999</v>
      </c>
      <c r="Q722" s="1987">
        <f t="shared" si="258"/>
        <v>0</v>
      </c>
      <c r="R722" s="1988">
        <f t="shared" si="258"/>
        <v>0</v>
      </c>
      <c r="V722" s="2448">
        <f t="shared" ref="V722:W722" si="259">V723</f>
        <v>0</v>
      </c>
      <c r="W722" s="2522">
        <f t="shared" si="259"/>
        <v>0</v>
      </c>
      <c r="X722" s="72"/>
      <c r="AC722" s="2264">
        <v>672.10500000000002</v>
      </c>
    </row>
    <row r="723" spans="1:256" ht="39" hidden="1" x14ac:dyDescent="0.25">
      <c r="A723" s="32"/>
      <c r="B723" s="90" t="s">
        <v>918</v>
      </c>
      <c r="C723" s="70"/>
      <c r="D723" s="9" t="s">
        <v>44</v>
      </c>
      <c r="E723" s="9" t="s">
        <v>41</v>
      </c>
      <c r="F723" s="77" t="s">
        <v>43</v>
      </c>
      <c r="G723" s="33" t="s">
        <v>42</v>
      </c>
      <c r="H723" s="33" t="s">
        <v>496</v>
      </c>
      <c r="I723" s="9" t="s">
        <v>495</v>
      </c>
      <c r="J723" s="1126">
        <v>153.32</v>
      </c>
      <c r="K723" s="1063">
        <v>172</v>
      </c>
      <c r="L723" s="1063">
        <v>172</v>
      </c>
      <c r="M723" s="1125">
        <v>172</v>
      </c>
      <c r="N723" s="2448"/>
      <c r="O723" s="1947">
        <v>554.52</v>
      </c>
      <c r="P723" s="1941">
        <v>576.45699999999999</v>
      </c>
      <c r="Q723" s="1987"/>
      <c r="R723" s="1988"/>
      <c r="V723" s="2448"/>
      <c r="W723" s="2522"/>
    </row>
    <row r="724" spans="1:256" s="2" customFormat="1" ht="25" hidden="1" x14ac:dyDescent="0.25">
      <c r="A724" s="32"/>
      <c r="B724" s="1127" t="s">
        <v>921</v>
      </c>
      <c r="C724" s="70"/>
      <c r="D724" s="9"/>
      <c r="E724" s="9"/>
      <c r="F724" s="79" t="s">
        <v>38</v>
      </c>
      <c r="G724" s="33"/>
      <c r="H724" s="33"/>
      <c r="I724" s="9"/>
      <c r="J724" s="1126">
        <f>J725</f>
        <v>0</v>
      </c>
      <c r="K724" s="1128"/>
      <c r="L724" s="1129"/>
      <c r="M724" s="1128"/>
      <c r="N724" s="2450">
        <f t="shared" ref="N724:R725" si="260">N725</f>
        <v>0</v>
      </c>
      <c r="O724" s="1994">
        <f t="shared" si="260"/>
        <v>0</v>
      </c>
      <c r="P724" s="1939">
        <f t="shared" si="260"/>
        <v>0</v>
      </c>
      <c r="Q724" s="1995">
        <f t="shared" si="260"/>
        <v>0</v>
      </c>
      <c r="R724" s="1985">
        <f t="shared" si="260"/>
        <v>0</v>
      </c>
      <c r="V724" s="2450">
        <f t="shared" ref="V724:W725" si="261">V725</f>
        <v>0</v>
      </c>
      <c r="W724" s="2521">
        <f t="shared" si="261"/>
        <v>0</v>
      </c>
      <c r="Y724" s="1"/>
      <c r="Z724" s="237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spans="1:256" s="2" customFormat="1" ht="25.5" hidden="1" thickBot="1" x14ac:dyDescent="0.3">
      <c r="A725" s="32"/>
      <c r="B725" s="1130" t="s">
        <v>454</v>
      </c>
      <c r="C725" s="70"/>
      <c r="D725" s="9"/>
      <c r="E725" s="9"/>
      <c r="F725" s="77" t="s">
        <v>38</v>
      </c>
      <c r="G725" s="33" t="s">
        <v>26</v>
      </c>
      <c r="H725" s="33"/>
      <c r="I725" s="9"/>
      <c r="J725" s="1126">
        <f>J726</f>
        <v>0</v>
      </c>
      <c r="K725" s="1128"/>
      <c r="L725" s="1129"/>
      <c r="M725" s="1128"/>
      <c r="N725" s="2448">
        <f t="shared" si="260"/>
        <v>0</v>
      </c>
      <c r="O725" s="1947">
        <f t="shared" si="260"/>
        <v>0</v>
      </c>
      <c r="P725" s="1941">
        <f t="shared" si="260"/>
        <v>0</v>
      </c>
      <c r="Q725" s="1987">
        <f t="shared" si="260"/>
        <v>0</v>
      </c>
      <c r="R725" s="1988">
        <f t="shared" si="260"/>
        <v>0</v>
      </c>
      <c r="V725" s="2448">
        <f t="shared" si="261"/>
        <v>0</v>
      </c>
      <c r="W725" s="2522">
        <f t="shared" si="261"/>
        <v>0</v>
      </c>
      <c r="Y725" s="1"/>
      <c r="Z725" s="237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spans="1:256" s="2" customFormat="1" ht="13" hidden="1" x14ac:dyDescent="0.3">
      <c r="A726" s="32"/>
      <c r="B726" s="744" t="s">
        <v>39</v>
      </c>
      <c r="C726" s="70"/>
      <c r="D726" s="9"/>
      <c r="E726" s="9"/>
      <c r="F726" s="77" t="s">
        <v>38</v>
      </c>
      <c r="G726" s="33" t="s">
        <v>26</v>
      </c>
      <c r="H726" s="33" t="s">
        <v>463</v>
      </c>
      <c r="I726" s="9" t="s">
        <v>488</v>
      </c>
      <c r="J726" s="1126"/>
      <c r="K726" s="1128"/>
      <c r="L726" s="1129"/>
      <c r="M726" s="1128"/>
      <c r="N726" s="2448"/>
      <c r="O726" s="1947"/>
      <c r="P726" s="1941"/>
      <c r="Q726" s="1987"/>
      <c r="R726" s="1988"/>
      <c r="V726" s="2448"/>
      <c r="W726" s="2522"/>
      <c r="Y726" s="1"/>
      <c r="Z726" s="237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spans="1:256" s="2" customFormat="1" ht="26" hidden="1" x14ac:dyDescent="0.25">
      <c r="A727" s="32"/>
      <c r="B727" s="76" t="s">
        <v>37</v>
      </c>
      <c r="C727" s="70"/>
      <c r="D727" s="9"/>
      <c r="E727" s="9"/>
      <c r="F727" s="34" t="s">
        <v>36</v>
      </c>
      <c r="G727" s="33"/>
      <c r="H727" s="33"/>
      <c r="I727" s="9"/>
      <c r="J727" s="1131">
        <f>J728</f>
        <v>17908.526000000002</v>
      </c>
      <c r="K727" s="1128"/>
      <c r="L727" s="1129"/>
      <c r="M727" s="1128"/>
      <c r="N727" s="2448">
        <f t="shared" ref="N727:R728" si="262">N728</f>
        <v>0</v>
      </c>
      <c r="O727" s="1964">
        <f t="shared" si="262"/>
        <v>0</v>
      </c>
      <c r="P727" s="1963">
        <f t="shared" si="262"/>
        <v>0</v>
      </c>
      <c r="Q727" s="1987">
        <f t="shared" si="262"/>
        <v>0</v>
      </c>
      <c r="R727" s="1988">
        <f t="shared" si="262"/>
        <v>0</v>
      </c>
      <c r="V727" s="2448">
        <f t="shared" ref="V727:W728" si="263">V728</f>
        <v>0</v>
      </c>
      <c r="W727" s="2522">
        <f t="shared" si="263"/>
        <v>0</v>
      </c>
      <c r="Y727" s="1"/>
      <c r="Z727" s="237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spans="1:256" s="2" customFormat="1" ht="26" hidden="1" x14ac:dyDescent="0.25">
      <c r="A728" s="32"/>
      <c r="B728" s="1993" t="s">
        <v>4</v>
      </c>
      <c r="C728" s="70"/>
      <c r="D728" s="9"/>
      <c r="E728" s="9"/>
      <c r="F728" s="9" t="s">
        <v>36</v>
      </c>
      <c r="G728" s="33" t="s">
        <v>1</v>
      </c>
      <c r="H728" s="33"/>
      <c r="I728" s="9"/>
      <c r="J728" s="1131">
        <f>J729</f>
        <v>17908.526000000002</v>
      </c>
      <c r="K728" s="1128"/>
      <c r="L728" s="1129"/>
      <c r="M728" s="1128"/>
      <c r="N728" s="2448">
        <f t="shared" si="262"/>
        <v>0</v>
      </c>
      <c r="O728" s="1964">
        <f t="shared" si="262"/>
        <v>0</v>
      </c>
      <c r="P728" s="1963">
        <f t="shared" si="262"/>
        <v>0</v>
      </c>
      <c r="Q728" s="1987">
        <f t="shared" si="262"/>
        <v>0</v>
      </c>
      <c r="R728" s="1988">
        <f t="shared" si="262"/>
        <v>0</v>
      </c>
      <c r="S728" s="75"/>
      <c r="T728" s="75"/>
      <c r="U728" s="1124"/>
      <c r="V728" s="2448">
        <f t="shared" si="263"/>
        <v>0</v>
      </c>
      <c r="W728" s="2522">
        <f t="shared" si="263"/>
        <v>0</v>
      </c>
      <c r="Y728" s="1"/>
      <c r="Z728" s="237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spans="1:256" s="2" customFormat="1" ht="13" hidden="1" x14ac:dyDescent="0.25">
      <c r="A729" s="32"/>
      <c r="B729" s="49" t="s">
        <v>34</v>
      </c>
      <c r="C729" s="70"/>
      <c r="D729" s="9"/>
      <c r="E729" s="9"/>
      <c r="F729" s="9" t="s">
        <v>36</v>
      </c>
      <c r="G729" s="33" t="s">
        <v>1</v>
      </c>
      <c r="H729" s="33"/>
      <c r="I729" s="9" t="s">
        <v>32</v>
      </c>
      <c r="J729" s="1131">
        <v>17908.526000000002</v>
      </c>
      <c r="K729" s="1128"/>
      <c r="L729" s="1129"/>
      <c r="M729" s="1128"/>
      <c r="N729" s="2448"/>
      <c r="O729" s="1964"/>
      <c r="P729" s="1963"/>
      <c r="Q729" s="1987"/>
      <c r="R729" s="1988"/>
      <c r="S729" s="75"/>
      <c r="T729" s="75"/>
      <c r="U729" s="1124"/>
      <c r="V729" s="2448"/>
      <c r="W729" s="2522"/>
      <c r="Y729" s="1"/>
      <c r="Z729" s="237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spans="1:256" s="2" customFormat="1" ht="39" hidden="1" x14ac:dyDescent="0.25">
      <c r="A730" s="32"/>
      <c r="B730" s="1993" t="s">
        <v>35</v>
      </c>
      <c r="C730" s="70"/>
      <c r="D730" s="9"/>
      <c r="E730" s="9"/>
      <c r="F730" s="34" t="s">
        <v>33</v>
      </c>
      <c r="G730" s="33"/>
      <c r="H730" s="33"/>
      <c r="I730" s="9"/>
      <c r="J730" s="1131">
        <f>J731</f>
        <v>7028.6390000000001</v>
      </c>
      <c r="K730" s="1128"/>
      <c r="L730" s="1129"/>
      <c r="M730" s="1128"/>
      <c r="N730" s="2448">
        <f t="shared" ref="N730:R731" si="264">N731</f>
        <v>0</v>
      </c>
      <c r="O730" s="1964">
        <f t="shared" si="264"/>
        <v>0</v>
      </c>
      <c r="P730" s="1963">
        <f t="shared" si="264"/>
        <v>0</v>
      </c>
      <c r="Q730" s="1987">
        <f t="shared" si="264"/>
        <v>0</v>
      </c>
      <c r="R730" s="1988">
        <f t="shared" si="264"/>
        <v>0</v>
      </c>
      <c r="V730" s="2448">
        <f t="shared" ref="V730:W731" si="265">V731</f>
        <v>0</v>
      </c>
      <c r="W730" s="2522">
        <f t="shared" si="265"/>
        <v>0</v>
      </c>
      <c r="Y730" s="1"/>
      <c r="Z730" s="237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spans="1:256" s="2" customFormat="1" ht="26" hidden="1" x14ac:dyDescent="0.25">
      <c r="A731" s="32"/>
      <c r="B731" s="1993" t="s">
        <v>4</v>
      </c>
      <c r="C731" s="70"/>
      <c r="D731" s="9"/>
      <c r="E731" s="9"/>
      <c r="F731" s="9" t="s">
        <v>33</v>
      </c>
      <c r="G731" s="33" t="s">
        <v>1</v>
      </c>
      <c r="H731" s="33"/>
      <c r="I731" s="9"/>
      <c r="J731" s="1131">
        <f>J732</f>
        <v>7028.6390000000001</v>
      </c>
      <c r="K731" s="1128"/>
      <c r="L731" s="1129"/>
      <c r="M731" s="1128"/>
      <c r="N731" s="2448">
        <f t="shared" si="264"/>
        <v>0</v>
      </c>
      <c r="O731" s="1964">
        <f t="shared" si="264"/>
        <v>0</v>
      </c>
      <c r="P731" s="1963">
        <f t="shared" si="264"/>
        <v>0</v>
      </c>
      <c r="Q731" s="1987">
        <f t="shared" si="264"/>
        <v>0</v>
      </c>
      <c r="R731" s="1988">
        <f t="shared" si="264"/>
        <v>0</v>
      </c>
      <c r="V731" s="2448">
        <f t="shared" si="265"/>
        <v>0</v>
      </c>
      <c r="W731" s="2522">
        <f t="shared" si="265"/>
        <v>0</v>
      </c>
      <c r="Y731" s="1"/>
      <c r="Z731" s="237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 s="2" customFormat="1" ht="27" hidden="1" customHeight="1" x14ac:dyDescent="0.25">
      <c r="A732" s="32"/>
      <c r="B732" s="49" t="s">
        <v>34</v>
      </c>
      <c r="C732" s="70"/>
      <c r="D732" s="9"/>
      <c r="E732" s="9"/>
      <c r="F732" s="9" t="s">
        <v>33</v>
      </c>
      <c r="G732" s="33" t="s">
        <v>1</v>
      </c>
      <c r="H732" s="33"/>
      <c r="I732" s="9" t="s">
        <v>32</v>
      </c>
      <c r="J732" s="1131">
        <f>838.062+6190.577</f>
        <v>7028.6390000000001</v>
      </c>
      <c r="K732" s="1128"/>
      <c r="L732" s="1129"/>
      <c r="M732" s="1128"/>
      <c r="N732" s="2448"/>
      <c r="O732" s="1964"/>
      <c r="P732" s="1963"/>
      <c r="Q732" s="1987"/>
      <c r="R732" s="1988"/>
      <c r="V732" s="2448"/>
      <c r="W732" s="2522"/>
      <c r="Y732" s="1"/>
      <c r="Z732" s="237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 s="2" customFormat="1" ht="25.15" hidden="1" customHeight="1" x14ac:dyDescent="0.25">
      <c r="A733" s="32"/>
      <c r="B733" s="90" t="s">
        <v>296</v>
      </c>
      <c r="C733" s="70"/>
      <c r="D733" s="9"/>
      <c r="E733" s="9"/>
      <c r="F733" s="34" t="s">
        <v>624</v>
      </c>
      <c r="G733" s="33"/>
      <c r="H733" s="33"/>
      <c r="I733" s="9"/>
      <c r="J733" s="1133"/>
      <c r="K733" s="1128"/>
      <c r="L733" s="1129"/>
      <c r="M733" s="1128"/>
      <c r="N733" s="2458">
        <f>N734</f>
        <v>0</v>
      </c>
      <c r="O733" s="2100"/>
      <c r="P733" s="2100"/>
      <c r="Q733" s="2101">
        <f>Q734</f>
        <v>0</v>
      </c>
      <c r="R733" s="2102">
        <f>R734</f>
        <v>0</v>
      </c>
      <c r="V733" s="2458">
        <f>V734</f>
        <v>0</v>
      </c>
      <c r="W733" s="2538">
        <f>W734</f>
        <v>0</v>
      </c>
      <c r="Y733" s="1"/>
      <c r="Z733" s="237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 s="2" customFormat="1" ht="17.5" hidden="1" customHeight="1" x14ac:dyDescent="0.3">
      <c r="A734" s="32"/>
      <c r="B734" s="744" t="s">
        <v>16</v>
      </c>
      <c r="C734" s="70"/>
      <c r="D734" s="9"/>
      <c r="E734" s="9"/>
      <c r="F734" s="9" t="s">
        <v>624</v>
      </c>
      <c r="G734" s="9" t="s">
        <v>1</v>
      </c>
      <c r="H734" s="33"/>
      <c r="I734" s="9"/>
      <c r="J734" s="1133"/>
      <c r="K734" s="1128"/>
      <c r="L734" s="1129"/>
      <c r="M734" s="1128"/>
      <c r="N734" s="2449">
        <f>N735</f>
        <v>0</v>
      </c>
      <c r="O734" s="2100"/>
      <c r="P734" s="2100"/>
      <c r="Q734" s="2103">
        <f>Q735</f>
        <v>0</v>
      </c>
      <c r="R734" s="2025">
        <f>R735</f>
        <v>0</v>
      </c>
      <c r="V734" s="2449">
        <f>V735</f>
        <v>0</v>
      </c>
      <c r="W734" s="2527">
        <f>W735</f>
        <v>0</v>
      </c>
      <c r="Y734" s="1"/>
      <c r="Z734" s="237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s="2" customFormat="1" ht="39.65" hidden="1" customHeight="1" x14ac:dyDescent="0.25">
      <c r="A735" s="32"/>
      <c r="B735" s="49" t="s">
        <v>64</v>
      </c>
      <c r="C735" s="70"/>
      <c r="D735" s="9"/>
      <c r="E735" s="9"/>
      <c r="F735" s="9" t="s">
        <v>624</v>
      </c>
      <c r="G735" s="9" t="s">
        <v>1</v>
      </c>
      <c r="H735" s="33" t="s">
        <v>464</v>
      </c>
      <c r="I735" s="9" t="s">
        <v>463</v>
      </c>
      <c r="J735" s="1133"/>
      <c r="K735" s="1128"/>
      <c r="L735" s="1129"/>
      <c r="M735" s="1128"/>
      <c r="N735" s="2449">
        <v>0</v>
      </c>
      <c r="O735" s="2100"/>
      <c r="P735" s="2100"/>
      <c r="Q735" s="2103">
        <v>0</v>
      </c>
      <c r="R735" s="2025">
        <v>0</v>
      </c>
      <c r="V735" s="2449">
        <v>0</v>
      </c>
      <c r="W735" s="2527">
        <v>0</v>
      </c>
      <c r="Y735" s="1"/>
      <c r="Z735" s="237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s="2" customFormat="1" ht="43.5" hidden="1" customHeight="1" x14ac:dyDescent="0.25">
      <c r="A736" s="32"/>
      <c r="B736" s="1108" t="s">
        <v>31</v>
      </c>
      <c r="C736" s="31"/>
      <c r="D736" s="9"/>
      <c r="E736" s="9"/>
      <c r="F736" s="34" t="s">
        <v>30</v>
      </c>
      <c r="G736" s="33"/>
      <c r="H736" s="33"/>
      <c r="I736" s="9"/>
      <c r="J736" s="520"/>
      <c r="K736" s="65"/>
      <c r="L736" s="64">
        <f t="shared" ref="L736:R736" si="266">L737</f>
        <v>0</v>
      </c>
      <c r="M736" s="1570">
        <f t="shared" si="266"/>
        <v>0</v>
      </c>
      <c r="N736" s="2489">
        <f t="shared" si="266"/>
        <v>0</v>
      </c>
      <c r="O736" s="2105">
        <f t="shared" si="266"/>
        <v>0</v>
      </c>
      <c r="P736" s="2105">
        <f t="shared" si="266"/>
        <v>0</v>
      </c>
      <c r="Q736" s="2106">
        <f t="shared" si="266"/>
        <v>0</v>
      </c>
      <c r="R736" s="2107">
        <f t="shared" si="266"/>
        <v>0</v>
      </c>
      <c r="V736" s="2489">
        <f t="shared" ref="V736:W736" si="267">V737</f>
        <v>0</v>
      </c>
      <c r="W736" s="2539">
        <f t="shared" si="267"/>
        <v>0</v>
      </c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60.75" hidden="1" customHeight="1" x14ac:dyDescent="0.25">
      <c r="A737" s="32"/>
      <c r="B737" s="1993" t="s">
        <v>4</v>
      </c>
      <c r="C737" s="9"/>
      <c r="D737" s="9" t="s">
        <v>15</v>
      </c>
      <c r="E737" s="9" t="s">
        <v>9</v>
      </c>
      <c r="F737" s="9" t="s">
        <v>30</v>
      </c>
      <c r="G737" s="9" t="s">
        <v>1</v>
      </c>
      <c r="H737" s="9"/>
      <c r="I737" s="9"/>
      <c r="J737" s="521"/>
      <c r="K737" s="61"/>
      <c r="L737" s="60"/>
      <c r="M737" s="1571"/>
      <c r="N737" s="2449">
        <f>N738</f>
        <v>0</v>
      </c>
      <c r="O737" s="1953">
        <f>O738</f>
        <v>0</v>
      </c>
      <c r="P737" s="1953">
        <f>P738</f>
        <v>0</v>
      </c>
      <c r="Q737" s="2078">
        <f>Q738</f>
        <v>0</v>
      </c>
      <c r="R737" s="2079">
        <f>R738</f>
        <v>0</v>
      </c>
      <c r="V737" s="2449">
        <f>V738</f>
        <v>0</v>
      </c>
      <c r="W737" s="2527">
        <f>W738</f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t="48" hidden="1" customHeight="1" x14ac:dyDescent="0.3">
      <c r="A738" s="32"/>
      <c r="B738" s="744" t="s">
        <v>11</v>
      </c>
      <c r="C738" s="9"/>
      <c r="D738" s="9"/>
      <c r="E738" s="9"/>
      <c r="F738" s="9" t="s">
        <v>30</v>
      </c>
      <c r="G738" s="9" t="s">
        <v>1</v>
      </c>
      <c r="H738" s="9" t="s">
        <v>463</v>
      </c>
      <c r="I738" s="9" t="s">
        <v>456</v>
      </c>
      <c r="J738" s="521"/>
      <c r="K738" s="61"/>
      <c r="L738" s="60"/>
      <c r="M738" s="1571"/>
      <c r="N738" s="2449">
        <v>0</v>
      </c>
      <c r="O738" s="1953"/>
      <c r="P738" s="1953"/>
      <c r="Q738" s="2078">
        <v>0</v>
      </c>
      <c r="R738" s="2079">
        <v>0</v>
      </c>
      <c r="V738" s="2449">
        <v>0</v>
      </c>
      <c r="W738" s="2527">
        <v>0</v>
      </c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t="16.899999999999999" hidden="1" customHeight="1" x14ac:dyDescent="0.25">
      <c r="A739" s="32"/>
      <c r="B739" s="58" t="s">
        <v>29</v>
      </c>
      <c r="C739" s="9"/>
      <c r="D739" s="9" t="s">
        <v>15</v>
      </c>
      <c r="E739" s="9" t="s">
        <v>9</v>
      </c>
      <c r="F739" s="34" t="s">
        <v>27</v>
      </c>
      <c r="G739" s="48"/>
      <c r="H739" s="48"/>
      <c r="I739" s="9"/>
      <c r="J739" s="521"/>
      <c r="K739" s="47"/>
      <c r="L739" s="57">
        <f>L741</f>
        <v>10000</v>
      </c>
      <c r="M739" s="1572">
        <f>M741</f>
        <v>10000</v>
      </c>
      <c r="N739" s="2449"/>
      <c r="O739" s="1953"/>
      <c r="P739" s="1953"/>
      <c r="Q739" s="2078"/>
      <c r="R739" s="2079"/>
      <c r="V739" s="2449"/>
      <c r="W739" s="2527"/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ht="26.5" hidden="1" customHeight="1" x14ac:dyDescent="0.25">
      <c r="A740" s="32"/>
      <c r="B740" s="2080" t="s">
        <v>28</v>
      </c>
      <c r="C740" s="9"/>
      <c r="D740" s="9"/>
      <c r="E740" s="9"/>
      <c r="F740" s="9" t="s">
        <v>27</v>
      </c>
      <c r="G740" s="9" t="s">
        <v>26</v>
      </c>
      <c r="H740" s="9"/>
      <c r="I740" s="9"/>
      <c r="J740" s="1126"/>
      <c r="K740" s="48"/>
      <c r="L740" s="54">
        <v>10000</v>
      </c>
      <c r="M740" s="1573">
        <v>10000</v>
      </c>
      <c r="N740" s="2448"/>
      <c r="O740" s="1947"/>
      <c r="P740" s="1941"/>
      <c r="Q740" s="1987"/>
      <c r="R740" s="1988"/>
      <c r="V740" s="2448"/>
      <c r="W740" s="2522"/>
    </row>
    <row r="741" spans="1:256" ht="16.899999999999999" hidden="1" customHeight="1" x14ac:dyDescent="0.3">
      <c r="A741" s="32"/>
      <c r="B741" s="744" t="s">
        <v>11</v>
      </c>
      <c r="C741" s="9"/>
      <c r="D741" s="9" t="s">
        <v>15</v>
      </c>
      <c r="E741" s="9" t="s">
        <v>9</v>
      </c>
      <c r="F741" s="9" t="s">
        <v>27</v>
      </c>
      <c r="G741" s="9" t="s">
        <v>26</v>
      </c>
      <c r="H741" s="9"/>
      <c r="I741" s="9" t="s">
        <v>9</v>
      </c>
      <c r="J741" s="1126"/>
      <c r="K741" s="48"/>
      <c r="L741" s="54">
        <v>10000</v>
      </c>
      <c r="M741" s="1573">
        <v>10000</v>
      </c>
      <c r="N741" s="2448"/>
      <c r="O741" s="1947"/>
      <c r="P741" s="1941"/>
      <c r="Q741" s="1987"/>
      <c r="R741" s="1988"/>
      <c r="V741" s="2448"/>
      <c r="W741" s="2522"/>
    </row>
    <row r="742" spans="1:256" ht="16.899999999999999" hidden="1" customHeight="1" x14ac:dyDescent="0.25">
      <c r="A742" s="32"/>
      <c r="B742" s="52" t="s">
        <v>25</v>
      </c>
      <c r="C742" s="9"/>
      <c r="D742" s="34" t="s">
        <v>15</v>
      </c>
      <c r="E742" s="34" t="s">
        <v>13</v>
      </c>
      <c r="F742" s="34" t="s">
        <v>24</v>
      </c>
      <c r="G742" s="48"/>
      <c r="H742" s="48"/>
      <c r="I742" s="34"/>
      <c r="J742" s="131">
        <f>J743</f>
        <v>0</v>
      </c>
      <c r="K742" s="51"/>
      <c r="L742" s="51">
        <f t="shared" ref="L742:R742" si="268">L743</f>
        <v>85</v>
      </c>
      <c r="M742" s="1553">
        <f t="shared" si="268"/>
        <v>85</v>
      </c>
      <c r="N742" s="2450">
        <f t="shared" si="268"/>
        <v>0</v>
      </c>
      <c r="O742" s="1958">
        <f t="shared" si="268"/>
        <v>0</v>
      </c>
      <c r="P742" s="1944">
        <f t="shared" si="268"/>
        <v>0</v>
      </c>
      <c r="Q742" s="1996">
        <f t="shared" si="268"/>
        <v>0</v>
      </c>
      <c r="R742" s="1997">
        <f t="shared" si="268"/>
        <v>0</v>
      </c>
      <c r="V742" s="2450">
        <f t="shared" ref="V742:W742" si="269">V743</f>
        <v>0</v>
      </c>
      <c r="W742" s="2521">
        <f t="shared" si="269"/>
        <v>0</v>
      </c>
    </row>
    <row r="743" spans="1:256" ht="26" hidden="1" x14ac:dyDescent="0.25">
      <c r="A743" s="32"/>
      <c r="B743" s="49" t="s">
        <v>23</v>
      </c>
      <c r="C743" s="9"/>
      <c r="D743" s="9" t="s">
        <v>15</v>
      </c>
      <c r="E743" s="9" t="s">
        <v>13</v>
      </c>
      <c r="F743" s="9" t="s">
        <v>14</v>
      </c>
      <c r="G743" s="48"/>
      <c r="H743" s="48"/>
      <c r="I743" s="9"/>
      <c r="J743" s="48">
        <f>J746</f>
        <v>0</v>
      </c>
      <c r="K743" s="47"/>
      <c r="L743" s="47">
        <f t="shared" ref="L743:R743" si="270">L746</f>
        <v>85</v>
      </c>
      <c r="M743" s="209">
        <f t="shared" si="270"/>
        <v>85</v>
      </c>
      <c r="N743" s="2448">
        <f t="shared" si="270"/>
        <v>0</v>
      </c>
      <c r="O743" s="2027">
        <f t="shared" si="270"/>
        <v>0</v>
      </c>
      <c r="P743" s="1950">
        <f t="shared" si="270"/>
        <v>0</v>
      </c>
      <c r="Q743" s="2028">
        <f t="shared" si="270"/>
        <v>0</v>
      </c>
      <c r="R743" s="2029">
        <f t="shared" si="270"/>
        <v>0</v>
      </c>
      <c r="V743" s="2448">
        <f t="shared" ref="V743:W743" si="271">V746</f>
        <v>0</v>
      </c>
      <c r="W743" s="2522">
        <f t="shared" si="271"/>
        <v>0</v>
      </c>
    </row>
    <row r="744" spans="1:256" ht="37.5" hidden="1" customHeight="1" x14ac:dyDescent="0.25">
      <c r="A744" s="32"/>
      <c r="B744" s="42" t="s">
        <v>22</v>
      </c>
      <c r="C744" s="31"/>
      <c r="D744" s="31" t="s">
        <v>15</v>
      </c>
      <c r="E744" s="31" t="s">
        <v>13</v>
      </c>
      <c r="F744" s="31" t="s">
        <v>21</v>
      </c>
      <c r="G744" s="3477" t="s">
        <v>20</v>
      </c>
      <c r="H744" s="3478"/>
      <c r="I744" s="3478"/>
      <c r="J744" s="3479"/>
      <c r="K744" s="45"/>
      <c r="L744" s="44"/>
      <c r="M744" s="44"/>
      <c r="N744" s="2487"/>
      <c r="O744" s="2082"/>
      <c r="P744" s="2082"/>
      <c r="Q744" s="2091"/>
      <c r="R744" s="2092"/>
      <c r="V744" s="2487"/>
      <c r="W744" s="2533"/>
    </row>
    <row r="745" spans="1:256" ht="16.899999999999999" hidden="1" customHeight="1" x14ac:dyDescent="0.25">
      <c r="A745" s="32"/>
      <c r="B745" s="42" t="s">
        <v>19</v>
      </c>
      <c r="C745" s="31"/>
      <c r="D745" s="31" t="s">
        <v>15</v>
      </c>
      <c r="E745" s="31" t="s">
        <v>13</v>
      </c>
      <c r="F745" s="31" t="s">
        <v>18</v>
      </c>
      <c r="G745" s="3477" t="s">
        <v>17</v>
      </c>
      <c r="H745" s="3478"/>
      <c r="I745" s="3478"/>
      <c r="J745" s="3479"/>
      <c r="K745" s="41"/>
      <c r="L745" s="2"/>
      <c r="M745" s="2"/>
      <c r="N745" s="2487"/>
      <c r="O745" s="2082"/>
      <c r="P745" s="2082"/>
      <c r="Q745" s="2091"/>
      <c r="R745" s="2092"/>
      <c r="V745" s="2487"/>
      <c r="W745" s="2533"/>
    </row>
    <row r="746" spans="1:256" ht="16.899999999999999" hidden="1" customHeight="1" x14ac:dyDescent="0.3">
      <c r="A746" s="32"/>
      <c r="B746" s="2108" t="s">
        <v>16</v>
      </c>
      <c r="C746" s="31"/>
      <c r="D746" s="9" t="s">
        <v>15</v>
      </c>
      <c r="E746" s="9" t="s">
        <v>13</v>
      </c>
      <c r="F746" s="9" t="s">
        <v>14</v>
      </c>
      <c r="G746" s="33" t="s">
        <v>1</v>
      </c>
      <c r="H746" s="33"/>
      <c r="I746" s="9" t="s">
        <v>13</v>
      </c>
      <c r="J746" s="515"/>
      <c r="K746" s="30"/>
      <c r="L746" s="29">
        <v>85</v>
      </c>
      <c r="M746" s="1569">
        <v>85</v>
      </c>
      <c r="N746" s="2451"/>
      <c r="O746" s="1961"/>
      <c r="P746" s="1961"/>
      <c r="Q746" s="2093"/>
      <c r="R746" s="2094"/>
      <c r="V746" s="2451"/>
      <c r="W746" s="2524"/>
    </row>
    <row r="747" spans="1:256" ht="16.899999999999999" hidden="1" customHeight="1" x14ac:dyDescent="0.3">
      <c r="A747" s="32"/>
      <c r="B747" s="538" t="s">
        <v>525</v>
      </c>
      <c r="C747" s="31"/>
      <c r="D747" s="9"/>
      <c r="E747" s="9"/>
      <c r="F747" s="37" t="s">
        <v>524</v>
      </c>
      <c r="G747" s="33"/>
      <c r="H747" s="33"/>
      <c r="I747" s="9"/>
      <c r="J747" s="515"/>
      <c r="K747" s="30"/>
      <c r="L747" s="29"/>
      <c r="M747" s="1569"/>
      <c r="N747" s="2452">
        <f>N748</f>
        <v>0</v>
      </c>
      <c r="O747" s="1961"/>
      <c r="P747" s="1961"/>
      <c r="Q747" s="2097">
        <f>Q748</f>
        <v>0</v>
      </c>
      <c r="R747" s="2098">
        <f>R748</f>
        <v>0</v>
      </c>
      <c r="V747" s="2452">
        <f>V748</f>
        <v>0</v>
      </c>
      <c r="W747" s="2523">
        <f>W748</f>
        <v>0</v>
      </c>
      <c r="X747" s="1"/>
    </row>
    <row r="748" spans="1:256" ht="27.75" hidden="1" customHeight="1" x14ac:dyDescent="0.3">
      <c r="A748" s="32"/>
      <c r="B748" s="58" t="s">
        <v>28</v>
      </c>
      <c r="C748" s="31"/>
      <c r="D748" s="9"/>
      <c r="E748" s="9"/>
      <c r="F748" s="10" t="s">
        <v>524</v>
      </c>
      <c r="G748" s="33" t="s">
        <v>26</v>
      </c>
      <c r="H748" s="33"/>
      <c r="I748" s="9"/>
      <c r="J748" s="515"/>
      <c r="K748" s="30"/>
      <c r="L748" s="29"/>
      <c r="M748" s="1569"/>
      <c r="N748" s="2451">
        <f>N749</f>
        <v>0</v>
      </c>
      <c r="O748" s="1961"/>
      <c r="P748" s="1961"/>
      <c r="Q748" s="2093">
        <f>Q749</f>
        <v>0</v>
      </c>
      <c r="R748" s="2094">
        <f>R749</f>
        <v>0</v>
      </c>
      <c r="V748" s="2451">
        <f>V749</f>
        <v>0</v>
      </c>
      <c r="W748" s="2524">
        <f>W749</f>
        <v>0</v>
      </c>
      <c r="X748" s="1"/>
    </row>
    <row r="749" spans="1:256" ht="36.75" hidden="1" customHeight="1" x14ac:dyDescent="0.3">
      <c r="A749" s="32"/>
      <c r="B749" s="744" t="s">
        <v>39</v>
      </c>
      <c r="C749" s="31"/>
      <c r="D749" s="9"/>
      <c r="E749" s="9"/>
      <c r="F749" s="10" t="s">
        <v>524</v>
      </c>
      <c r="G749" s="33" t="s">
        <v>26</v>
      </c>
      <c r="H749" s="33" t="s">
        <v>463</v>
      </c>
      <c r="I749" s="9" t="s">
        <v>488</v>
      </c>
      <c r="J749" s="515"/>
      <c r="K749" s="30"/>
      <c r="L749" s="29"/>
      <c r="M749" s="1569"/>
      <c r="N749" s="2451">
        <f>4900-4900</f>
        <v>0</v>
      </c>
      <c r="O749" s="1961"/>
      <c r="P749" s="1961"/>
      <c r="Q749" s="2093">
        <f>4900-4900</f>
        <v>0</v>
      </c>
      <c r="R749" s="2094">
        <f>4900-4900</f>
        <v>0</v>
      </c>
      <c r="V749" s="2451">
        <f>4900-4900</f>
        <v>0</v>
      </c>
      <c r="W749" s="2524">
        <f>4900-4900</f>
        <v>0</v>
      </c>
      <c r="X749" s="1"/>
    </row>
    <row r="750" spans="1:256" ht="16.899999999999999" hidden="1" customHeight="1" x14ac:dyDescent="0.3">
      <c r="A750" s="32"/>
      <c r="B750" s="38" t="s">
        <v>922</v>
      </c>
      <c r="C750" s="911"/>
      <c r="D750" s="11"/>
      <c r="E750" s="11"/>
      <c r="F750" s="37" t="s">
        <v>923</v>
      </c>
      <c r="G750" s="522"/>
      <c r="H750" s="522"/>
      <c r="I750" s="522"/>
      <c r="J750" s="1135">
        <f>J751+J753</f>
        <v>600.79999999999995</v>
      </c>
      <c r="K750" s="30"/>
      <c r="L750" s="29"/>
      <c r="M750" s="1569"/>
      <c r="N750" s="2490">
        <f>N751+N753</f>
        <v>0</v>
      </c>
      <c r="O750" s="2110">
        <f>O751+O753</f>
        <v>0</v>
      </c>
      <c r="P750" s="2111">
        <f>P751+P753</f>
        <v>0</v>
      </c>
      <c r="Q750" s="2112">
        <f>Q751+Q753</f>
        <v>0</v>
      </c>
      <c r="R750" s="2113">
        <f>R751+R753</f>
        <v>0</v>
      </c>
      <c r="V750" s="2490">
        <f>V751+V753</f>
        <v>0</v>
      </c>
      <c r="W750" s="2540">
        <f>W751+W753</f>
        <v>0</v>
      </c>
      <c r="X750" s="1"/>
    </row>
    <row r="751" spans="1:256" ht="27.65" hidden="1" customHeight="1" x14ac:dyDescent="0.3">
      <c r="A751" s="32"/>
      <c r="B751" s="2114" t="s">
        <v>916</v>
      </c>
      <c r="C751" s="911"/>
      <c r="D751" s="11"/>
      <c r="E751" s="11"/>
      <c r="F751" s="10" t="s">
        <v>923</v>
      </c>
      <c r="G751" s="9" t="s">
        <v>521</v>
      </c>
      <c r="H751" s="9"/>
      <c r="I751" s="522"/>
      <c r="J751" s="1126">
        <f>J752</f>
        <v>493.39</v>
      </c>
      <c r="K751" s="30"/>
      <c r="L751" s="29"/>
      <c r="M751" s="1569"/>
      <c r="N751" s="2448">
        <f>N752</f>
        <v>0</v>
      </c>
      <c r="O751" s="1947">
        <f>O752</f>
        <v>0</v>
      </c>
      <c r="P751" s="1941">
        <f>P752</f>
        <v>0</v>
      </c>
      <c r="Q751" s="1987">
        <f>Q752</f>
        <v>0</v>
      </c>
      <c r="R751" s="1988">
        <f>R752</f>
        <v>0</v>
      </c>
      <c r="V751" s="2448">
        <f>V752</f>
        <v>0</v>
      </c>
      <c r="W751" s="2522">
        <f>W752</f>
        <v>0</v>
      </c>
      <c r="X751" s="1"/>
    </row>
    <row r="752" spans="1:256" ht="16.899999999999999" hidden="1" customHeight="1" x14ac:dyDescent="0.3">
      <c r="A752" s="32"/>
      <c r="B752" s="744" t="s">
        <v>39</v>
      </c>
      <c r="C752" s="911"/>
      <c r="D752" s="11"/>
      <c r="E752" s="11"/>
      <c r="F752" s="10" t="s">
        <v>923</v>
      </c>
      <c r="G752" s="9" t="s">
        <v>521</v>
      </c>
      <c r="H752" s="9" t="s">
        <v>463</v>
      </c>
      <c r="I752" s="9" t="s">
        <v>488</v>
      </c>
      <c r="J752" s="1126">
        <f>378.948+114.442</f>
        <v>493.39</v>
      </c>
      <c r="K752" s="30"/>
      <c r="L752" s="29"/>
      <c r="M752" s="1569"/>
      <c r="N752" s="2448">
        <v>0</v>
      </c>
      <c r="O752" s="1947"/>
      <c r="P752" s="1941"/>
      <c r="Q752" s="1987">
        <v>0</v>
      </c>
      <c r="R752" s="1988">
        <v>0</v>
      </c>
      <c r="V752" s="2448">
        <v>0</v>
      </c>
      <c r="W752" s="2522">
        <v>0</v>
      </c>
      <c r="X752" s="1"/>
    </row>
    <row r="753" spans="1:24" ht="16.899999999999999" hidden="1" customHeight="1" x14ac:dyDescent="0.3">
      <c r="A753" s="32"/>
      <c r="B753" s="1993"/>
      <c r="C753" s="911"/>
      <c r="D753" s="11"/>
      <c r="E753" s="11"/>
      <c r="F753" s="10" t="s">
        <v>2</v>
      </c>
      <c r="G753" s="9" t="s">
        <v>1</v>
      </c>
      <c r="H753" s="9"/>
      <c r="I753" s="9"/>
      <c r="J753" s="1139">
        <f>J754</f>
        <v>107.41</v>
      </c>
      <c r="K753" s="30"/>
      <c r="L753" s="29"/>
      <c r="M753" s="1569"/>
      <c r="N753" s="2459">
        <f>N754</f>
        <v>0</v>
      </c>
      <c r="O753" s="2115">
        <f>O754</f>
        <v>0</v>
      </c>
      <c r="P753" s="2116">
        <f>P754</f>
        <v>0</v>
      </c>
      <c r="Q753" s="2117">
        <f>Q754</f>
        <v>0</v>
      </c>
      <c r="R753" s="2118">
        <f>R754</f>
        <v>0</v>
      </c>
      <c r="V753" s="2459">
        <f>V754</f>
        <v>0</v>
      </c>
      <c r="W753" s="2531">
        <f>W754</f>
        <v>0</v>
      </c>
      <c r="X753" s="1"/>
    </row>
    <row r="754" spans="1:24" ht="26.15" hidden="1" customHeight="1" x14ac:dyDescent="0.3">
      <c r="A754" s="32"/>
      <c r="B754" s="12"/>
      <c r="C754" s="911"/>
      <c r="D754" s="11"/>
      <c r="E754" s="11"/>
      <c r="F754" s="10" t="s">
        <v>2</v>
      </c>
      <c r="G754" s="9" t="s">
        <v>1</v>
      </c>
      <c r="H754" s="9" t="s">
        <v>488</v>
      </c>
      <c r="I754" s="9" t="s">
        <v>495</v>
      </c>
      <c r="J754" s="1126">
        <f>86.41+21</f>
        <v>107.41</v>
      </c>
      <c r="K754" s="30"/>
      <c r="L754" s="29"/>
      <c r="M754" s="1569"/>
      <c r="N754" s="2448"/>
      <c r="O754" s="1947"/>
      <c r="P754" s="1941"/>
      <c r="Q754" s="1987"/>
      <c r="R754" s="1988"/>
      <c r="V754" s="2448"/>
      <c r="W754" s="2522"/>
      <c r="X754" s="1"/>
    </row>
    <row r="755" spans="1:24" ht="38.15" hidden="1" customHeight="1" x14ac:dyDescent="0.3">
      <c r="A755" s="32"/>
      <c r="B755" s="1143" t="s">
        <v>924</v>
      </c>
      <c r="C755" s="22"/>
      <c r="D755" s="20"/>
      <c r="E755" s="20"/>
      <c r="F755" s="1144" t="s">
        <v>925</v>
      </c>
      <c r="G755" s="142"/>
      <c r="H755" s="142"/>
      <c r="I755" s="142"/>
      <c r="J755" s="1145"/>
      <c r="K755" s="741"/>
      <c r="L755" s="742"/>
      <c r="M755" s="1570"/>
      <c r="N755" s="2458">
        <f>N756</f>
        <v>0</v>
      </c>
      <c r="O755" s="1947"/>
      <c r="P755" s="1947"/>
      <c r="Q755" s="2119">
        <f>Q756</f>
        <v>0</v>
      </c>
      <c r="R755" s="2102">
        <f>R756</f>
        <v>0</v>
      </c>
      <c r="V755" s="2458">
        <f>V756</f>
        <v>0</v>
      </c>
      <c r="W755" s="2538">
        <f>W756</f>
        <v>0</v>
      </c>
      <c r="X755" s="1"/>
    </row>
    <row r="756" spans="1:24" ht="16.899999999999999" hidden="1" customHeight="1" x14ac:dyDescent="0.3">
      <c r="A756" s="32"/>
      <c r="B756" s="2114" t="s">
        <v>916</v>
      </c>
      <c r="C756" s="22"/>
      <c r="D756" s="20"/>
      <c r="E756" s="20"/>
      <c r="F756" s="1144" t="s">
        <v>925</v>
      </c>
      <c r="G756" s="142" t="s">
        <v>521</v>
      </c>
      <c r="H756" s="142"/>
      <c r="I756" s="142"/>
      <c r="J756" s="1145"/>
      <c r="K756" s="741"/>
      <c r="L756" s="742"/>
      <c r="M756" s="1570"/>
      <c r="N756" s="2449">
        <f>N757</f>
        <v>0</v>
      </c>
      <c r="O756" s="1947"/>
      <c r="P756" s="1947"/>
      <c r="Q756" s="2024">
        <f>Q757</f>
        <v>0</v>
      </c>
      <c r="R756" s="2025">
        <f>R757</f>
        <v>0</v>
      </c>
      <c r="V756" s="2449">
        <f>V757</f>
        <v>0</v>
      </c>
      <c r="W756" s="2527">
        <f>W757</f>
        <v>0</v>
      </c>
      <c r="X756" s="1"/>
    </row>
    <row r="757" spans="1:24" ht="16.899999999999999" hidden="1" customHeight="1" x14ac:dyDescent="0.3">
      <c r="A757" s="32"/>
      <c r="B757" s="744" t="s">
        <v>39</v>
      </c>
      <c r="C757" s="911"/>
      <c r="D757" s="11"/>
      <c r="E757" s="11"/>
      <c r="F757" s="10" t="s">
        <v>925</v>
      </c>
      <c r="G757" s="9" t="s">
        <v>521</v>
      </c>
      <c r="H757" s="9" t="s">
        <v>463</v>
      </c>
      <c r="I757" s="9" t="s">
        <v>488</v>
      </c>
      <c r="J757" s="1126">
        <f>378.948+114.442</f>
        <v>493.39</v>
      </c>
      <c r="K757" s="30"/>
      <c r="L757" s="29"/>
      <c r="M757" s="1569"/>
      <c r="N757" s="2448">
        <v>0</v>
      </c>
      <c r="O757" s="1947"/>
      <c r="P757" s="1947"/>
      <c r="Q757" s="1987">
        <v>0</v>
      </c>
      <c r="R757" s="1988">
        <v>0</v>
      </c>
      <c r="V757" s="2448">
        <v>0</v>
      </c>
      <c r="W757" s="2522">
        <v>0</v>
      </c>
      <c r="X757" s="1"/>
    </row>
    <row r="758" spans="1:24" ht="24.65" customHeight="1" x14ac:dyDescent="0.3">
      <c r="A758" s="32"/>
      <c r="B758" s="724" t="s">
        <v>1007</v>
      </c>
      <c r="C758" s="22"/>
      <c r="D758" s="20"/>
      <c r="E758" s="20"/>
      <c r="F758" s="79" t="s">
        <v>531</v>
      </c>
      <c r="G758" s="142"/>
      <c r="H758" s="142"/>
      <c r="I758" s="142"/>
      <c r="J758" s="1145"/>
      <c r="K758" s="741"/>
      <c r="L758" s="742"/>
      <c r="M758" s="1570"/>
      <c r="N758" s="2458">
        <f>N759</f>
        <v>54</v>
      </c>
      <c r="O758" s="2422"/>
      <c r="P758" s="2422"/>
      <c r="Q758" s="2439"/>
      <c r="R758" s="2440"/>
      <c r="S758" s="2426"/>
      <c r="T758" s="2426"/>
      <c r="U758" s="2426"/>
      <c r="V758" s="2458">
        <f>V759</f>
        <v>60</v>
      </c>
      <c r="W758" s="2538">
        <f>W759</f>
        <v>60</v>
      </c>
      <c r="X758" s="1"/>
    </row>
    <row r="759" spans="1:24" ht="26.15" customHeight="1" x14ac:dyDescent="0.3">
      <c r="A759" s="32"/>
      <c r="B759" s="724" t="s">
        <v>948</v>
      </c>
      <c r="C759" s="22"/>
      <c r="D759" s="20"/>
      <c r="E759" s="20"/>
      <c r="F759" s="77" t="s">
        <v>531</v>
      </c>
      <c r="G759" s="142" t="s">
        <v>955</v>
      </c>
      <c r="H759" s="142"/>
      <c r="I759" s="142"/>
      <c r="J759" s="1145"/>
      <c r="K759" s="741"/>
      <c r="L759" s="742"/>
      <c r="M759" s="1570"/>
      <c r="N759" s="2449">
        <f>N761</f>
        <v>54</v>
      </c>
      <c r="O759" s="2422"/>
      <c r="P759" s="2422"/>
      <c r="Q759" s="2439"/>
      <c r="R759" s="2440"/>
      <c r="S759" s="2426"/>
      <c r="T759" s="2426"/>
      <c r="U759" s="2426"/>
      <c r="V759" s="2449">
        <f>V761</f>
        <v>60</v>
      </c>
      <c r="W759" s="2527">
        <f>W761</f>
        <v>60</v>
      </c>
      <c r="X759" s="1"/>
    </row>
    <row r="760" spans="1:24" ht="16.899999999999999" customHeight="1" x14ac:dyDescent="0.3">
      <c r="A760" s="32"/>
      <c r="B760" s="724" t="s">
        <v>16</v>
      </c>
      <c r="C760" s="22"/>
      <c r="D760" s="20"/>
      <c r="E760" s="20"/>
      <c r="F760" s="77" t="s">
        <v>531</v>
      </c>
      <c r="G760" s="142" t="s">
        <v>1</v>
      </c>
      <c r="H760" s="142"/>
      <c r="I760" s="142"/>
      <c r="J760" s="1145"/>
      <c r="K760" s="741"/>
      <c r="L760" s="742"/>
      <c r="M760" s="1570"/>
      <c r="N760" s="2449">
        <f>N761</f>
        <v>54</v>
      </c>
      <c r="O760" s="2422"/>
      <c r="P760" s="2422"/>
      <c r="Q760" s="2439"/>
      <c r="R760" s="2440"/>
      <c r="S760" s="2426"/>
      <c r="T760" s="2426"/>
      <c r="U760" s="2426"/>
      <c r="V760" s="2449">
        <f>V761</f>
        <v>60</v>
      </c>
      <c r="W760" s="2527">
        <f>W761</f>
        <v>60</v>
      </c>
      <c r="X760" s="1"/>
    </row>
    <row r="761" spans="1:24" ht="16.899999999999999" customHeight="1" x14ac:dyDescent="0.3">
      <c r="A761" s="32"/>
      <c r="B761" s="744" t="s">
        <v>11</v>
      </c>
      <c r="C761" s="22"/>
      <c r="D761" s="20"/>
      <c r="E761" s="20"/>
      <c r="F761" s="77" t="s">
        <v>531</v>
      </c>
      <c r="G761" s="142" t="s">
        <v>1</v>
      </c>
      <c r="H761" s="142" t="s">
        <v>463</v>
      </c>
      <c r="I761" s="142" t="s">
        <v>456</v>
      </c>
      <c r="J761" s="1145"/>
      <c r="K761" s="741"/>
      <c r="L761" s="742"/>
      <c r="M761" s="1570"/>
      <c r="N761" s="2449">
        <v>54</v>
      </c>
      <c r="O761" s="2422"/>
      <c r="P761" s="2422"/>
      <c r="Q761" s="2439"/>
      <c r="R761" s="2440"/>
      <c r="S761" s="2426"/>
      <c r="T761" s="2426"/>
      <c r="U761" s="2426"/>
      <c r="V761" s="2449">
        <v>60</v>
      </c>
      <c r="W761" s="2527">
        <v>60</v>
      </c>
      <c r="X761" s="1"/>
    </row>
    <row r="762" spans="1:24" ht="25" customHeight="1" x14ac:dyDescent="0.3">
      <c r="A762" s="32"/>
      <c r="B762" s="23" t="s">
        <v>8</v>
      </c>
      <c r="C762" s="22"/>
      <c r="D762" s="20"/>
      <c r="E762" s="20"/>
      <c r="F762" s="21" t="s">
        <v>2</v>
      </c>
      <c r="G762" s="20"/>
      <c r="H762" s="20"/>
      <c r="I762" s="20"/>
      <c r="J762" s="1146">
        <f>J764+J767</f>
        <v>600.79999999999995</v>
      </c>
      <c r="K762" s="1147"/>
      <c r="L762" s="1148">
        <f>L764+L767</f>
        <v>605.88300000000004</v>
      </c>
      <c r="M762" s="1574">
        <f>M764+M767</f>
        <v>605.88300000000004</v>
      </c>
      <c r="N762" s="2491">
        <f>N765+N768</f>
        <v>579.19999999999993</v>
      </c>
      <c r="O762" s="1947"/>
      <c r="P762" s="1947"/>
      <c r="Q762" s="2122">
        <f>Q764+Q767</f>
        <v>844.2</v>
      </c>
      <c r="R762" s="2123">
        <f>R765+R768</f>
        <v>874.4</v>
      </c>
      <c r="S762" s="2">
        <v>106.9</v>
      </c>
      <c r="T762" s="2">
        <v>88.4</v>
      </c>
      <c r="U762" s="2">
        <v>874.4</v>
      </c>
      <c r="V762" s="2491">
        <f>V765+V768</f>
        <v>892</v>
      </c>
      <c r="W762" s="2541">
        <f>W765+W768</f>
        <v>0</v>
      </c>
      <c r="X762" s="1"/>
    </row>
    <row r="763" spans="1:24" ht="24" customHeight="1" x14ac:dyDescent="0.3">
      <c r="A763" s="32"/>
      <c r="B763" s="49" t="s">
        <v>1063</v>
      </c>
      <c r="C763" s="22"/>
      <c r="D763" s="20"/>
      <c r="E763" s="20"/>
      <c r="F763" s="10" t="s">
        <v>2</v>
      </c>
      <c r="G763" s="2986">
        <v>100</v>
      </c>
      <c r="H763" s="20"/>
      <c r="I763" s="20"/>
      <c r="J763" s="1146"/>
      <c r="K763" s="1147"/>
      <c r="L763" s="1148"/>
      <c r="M763" s="1574"/>
      <c r="N763" s="2491">
        <f>N764</f>
        <v>550.0329999999999</v>
      </c>
      <c r="O763" s="1947"/>
      <c r="P763" s="1947"/>
      <c r="Q763" s="2122"/>
      <c r="R763" s="2123"/>
      <c r="V763" s="2491">
        <f>V764</f>
        <v>862.83299999999997</v>
      </c>
      <c r="W763" s="2541">
        <f>W764</f>
        <v>0</v>
      </c>
      <c r="X763" s="1"/>
    </row>
    <row r="764" spans="1:24" ht="16.899999999999999" customHeight="1" x14ac:dyDescent="0.3">
      <c r="A764" s="32"/>
      <c r="B764" s="744" t="s">
        <v>7</v>
      </c>
      <c r="C764" s="911"/>
      <c r="D764" s="11"/>
      <c r="E764" s="11"/>
      <c r="F764" s="10" t="s">
        <v>2</v>
      </c>
      <c r="G764" s="9" t="s">
        <v>5</v>
      </c>
      <c r="H764" s="9"/>
      <c r="I764" s="11"/>
      <c r="J764" s="1063">
        <f>J765</f>
        <v>493.39</v>
      </c>
      <c r="K764" s="1150"/>
      <c r="L764" s="1063">
        <v>555.32000000000005</v>
      </c>
      <c r="M764" s="1125">
        <v>555.32000000000005</v>
      </c>
      <c r="N764" s="2448">
        <f>N765</f>
        <v>550.0329999999999</v>
      </c>
      <c r="O764" s="2155"/>
      <c r="P764" s="2155"/>
      <c r="Q764" s="2156">
        <f>Q765</f>
        <v>816.62400000000002</v>
      </c>
      <c r="R764" s="2157">
        <f>R765</f>
        <v>846.82399999999996</v>
      </c>
      <c r="S764" s="2158"/>
      <c r="T764" s="2158"/>
      <c r="U764" s="2158"/>
      <c r="V764" s="2448">
        <f>V765</f>
        <v>862.83299999999997</v>
      </c>
      <c r="W764" s="2522">
        <f>W765</f>
        <v>0</v>
      </c>
      <c r="X764" s="1"/>
    </row>
    <row r="765" spans="1:24" ht="23.5" customHeight="1" x14ac:dyDescent="0.3">
      <c r="A765" s="32"/>
      <c r="B765" s="744" t="s">
        <v>6</v>
      </c>
      <c r="C765" s="911"/>
      <c r="D765" s="11"/>
      <c r="E765" s="11"/>
      <c r="F765" s="10" t="s">
        <v>2</v>
      </c>
      <c r="G765" s="9" t="s">
        <v>5</v>
      </c>
      <c r="H765" s="9" t="s">
        <v>488</v>
      </c>
      <c r="I765" s="9" t="s">
        <v>495</v>
      </c>
      <c r="J765" s="1063">
        <f>378.948+114.442</f>
        <v>493.39</v>
      </c>
      <c r="K765" s="1150"/>
      <c r="L765" s="1063">
        <v>555.32000000000005</v>
      </c>
      <c r="M765" s="1125">
        <v>555.32000000000005</v>
      </c>
      <c r="N765" s="2448">
        <f>862.833-312.8</f>
        <v>550.0329999999999</v>
      </c>
      <c r="O765" s="2155"/>
      <c r="P765" s="2155"/>
      <c r="Q765" s="2156">
        <v>816.62400000000002</v>
      </c>
      <c r="R765" s="2157">
        <v>846.82399999999996</v>
      </c>
      <c r="S765" s="2158">
        <v>807.13300000000004</v>
      </c>
      <c r="T765" s="2158">
        <v>816.63300000000004</v>
      </c>
      <c r="U765" s="2158">
        <v>846.83299999999997</v>
      </c>
      <c r="V765" s="2448">
        <v>862.83299999999997</v>
      </c>
      <c r="W765" s="2522">
        <v>0</v>
      </c>
      <c r="X765" s="1"/>
    </row>
    <row r="766" spans="1:24" ht="23.5" customHeight="1" x14ac:dyDescent="0.25">
      <c r="A766" s="32"/>
      <c r="B766" s="724" t="s">
        <v>948</v>
      </c>
      <c r="C766" s="911"/>
      <c r="D766" s="11"/>
      <c r="E766" s="11"/>
      <c r="F766" s="10" t="s">
        <v>2</v>
      </c>
      <c r="G766" s="9" t="s">
        <v>955</v>
      </c>
      <c r="H766" s="9"/>
      <c r="I766" s="9"/>
      <c r="J766" s="1063"/>
      <c r="K766" s="1150"/>
      <c r="L766" s="1063"/>
      <c r="M766" s="1125"/>
      <c r="N766" s="2448">
        <f>N767</f>
        <v>29.167000000000002</v>
      </c>
      <c r="O766" s="2155"/>
      <c r="P766" s="2155"/>
      <c r="Q766" s="2156"/>
      <c r="R766" s="2157"/>
      <c r="S766" s="2158"/>
      <c r="T766" s="2158"/>
      <c r="U766" s="2158"/>
      <c r="V766" s="2448">
        <f t="shared" ref="V766:W766" si="272">V767</f>
        <v>29.167000000000002</v>
      </c>
      <c r="W766" s="2522">
        <f t="shared" si="272"/>
        <v>0</v>
      </c>
      <c r="X766" s="1"/>
    </row>
    <row r="767" spans="1:24" ht="16.899999999999999" customHeight="1" x14ac:dyDescent="0.3">
      <c r="A767" s="32"/>
      <c r="B767" s="1993" t="s">
        <v>4</v>
      </c>
      <c r="C767" s="911"/>
      <c r="D767" s="11"/>
      <c r="E767" s="11"/>
      <c r="F767" s="10" t="s">
        <v>2</v>
      </c>
      <c r="G767" s="9" t="s">
        <v>1</v>
      </c>
      <c r="H767" s="9"/>
      <c r="I767" s="9"/>
      <c r="J767" s="1142">
        <f>J768</f>
        <v>107.41</v>
      </c>
      <c r="K767" s="1150"/>
      <c r="L767" s="1150">
        <v>50.563000000000002</v>
      </c>
      <c r="M767" s="1575">
        <v>50.563000000000002</v>
      </c>
      <c r="N767" s="2459">
        <f>N768</f>
        <v>29.167000000000002</v>
      </c>
      <c r="O767" s="2155"/>
      <c r="P767" s="2155"/>
      <c r="Q767" s="2159">
        <f>Q768</f>
        <v>27.576000000000001</v>
      </c>
      <c r="R767" s="2160">
        <f>R768</f>
        <v>27.576000000000001</v>
      </c>
      <c r="S767" s="2158"/>
      <c r="T767" s="2158"/>
      <c r="U767" s="2158">
        <v>27.567</v>
      </c>
      <c r="V767" s="2459">
        <f>V768</f>
        <v>29.167000000000002</v>
      </c>
      <c r="W767" s="2531">
        <f>W768</f>
        <v>0</v>
      </c>
      <c r="X767" s="1"/>
    </row>
    <row r="768" spans="1:24" ht="22" customHeight="1" x14ac:dyDescent="0.25">
      <c r="A768" s="32"/>
      <c r="B768" s="754" t="s">
        <v>3</v>
      </c>
      <c r="C768" s="911"/>
      <c r="D768" s="11"/>
      <c r="E768" s="11"/>
      <c r="F768" s="10" t="s">
        <v>2</v>
      </c>
      <c r="G768" s="9" t="s">
        <v>1</v>
      </c>
      <c r="H768" s="9" t="s">
        <v>488</v>
      </c>
      <c r="I768" s="9" t="s">
        <v>495</v>
      </c>
      <c r="J768" s="1063">
        <f>86.41+21</f>
        <v>107.41</v>
      </c>
      <c r="K768" s="1150"/>
      <c r="L768" s="1150">
        <v>50.563000000000002</v>
      </c>
      <c r="M768" s="1575">
        <v>50.563000000000002</v>
      </c>
      <c r="N768" s="2448">
        <v>29.167000000000002</v>
      </c>
      <c r="O768" s="2155"/>
      <c r="P768" s="2155"/>
      <c r="Q768" s="2157">
        <v>27.576000000000001</v>
      </c>
      <c r="R768" s="2157">
        <v>27.576000000000001</v>
      </c>
      <c r="S768" s="2158"/>
      <c r="T768" s="2158"/>
      <c r="U768" s="2158"/>
      <c r="V768" s="2448">
        <v>29.167000000000002</v>
      </c>
      <c r="W768" s="2522">
        <v>0</v>
      </c>
      <c r="X768" s="1"/>
    </row>
    <row r="769" spans="1:24" ht="16.899999999999999" hidden="1" customHeight="1" x14ac:dyDescent="0.25">
      <c r="A769" s="32"/>
      <c r="B769" s="1151" t="s">
        <v>1107</v>
      </c>
      <c r="C769" s="142"/>
      <c r="D769" s="143"/>
      <c r="E769" s="142"/>
      <c r="F769" s="946" t="s">
        <v>1106</v>
      </c>
      <c r="G769" s="143"/>
      <c r="H769" s="143"/>
      <c r="I769" s="142"/>
      <c r="J769" s="1103"/>
      <c r="K769" s="1103"/>
      <c r="L769" s="1103"/>
      <c r="M769" s="1124"/>
      <c r="N769" s="2458">
        <f>N770</f>
        <v>0</v>
      </c>
      <c r="O769" s="1947"/>
      <c r="P769" s="1947"/>
      <c r="Q769" s="2119"/>
      <c r="R769" s="2102"/>
      <c r="V769" s="2458">
        <f>V770</f>
        <v>0</v>
      </c>
      <c r="W769" s="2538">
        <f>W770</f>
        <v>0</v>
      </c>
      <c r="X769" s="1"/>
    </row>
    <row r="770" spans="1:24" ht="16.899999999999999" hidden="1" customHeight="1" x14ac:dyDescent="0.3">
      <c r="A770" s="32"/>
      <c r="B770" s="1993" t="s">
        <v>4</v>
      </c>
      <c r="C770" s="89"/>
      <c r="D770" s="9" t="s">
        <v>52</v>
      </c>
      <c r="E770" s="9" t="s">
        <v>58</v>
      </c>
      <c r="F770" s="9" t="s">
        <v>1106</v>
      </c>
      <c r="G770" s="88">
        <v>240</v>
      </c>
      <c r="H770" s="88"/>
      <c r="I770" s="1063"/>
      <c r="J770" s="1061"/>
      <c r="K770" s="1063"/>
      <c r="L770" s="1063"/>
      <c r="M770" s="84"/>
      <c r="N770" s="2448">
        <f>N771</f>
        <v>0</v>
      </c>
      <c r="O770" s="1947"/>
      <c r="P770" s="1947"/>
      <c r="Q770" s="1987"/>
      <c r="R770" s="1988"/>
      <c r="V770" s="2448">
        <f>V771</f>
        <v>0</v>
      </c>
      <c r="W770" s="2522">
        <f>W771</f>
        <v>0</v>
      </c>
      <c r="X770" s="1"/>
    </row>
    <row r="771" spans="1:24" ht="13" hidden="1" x14ac:dyDescent="0.3">
      <c r="A771" s="32"/>
      <c r="B771" s="90" t="s">
        <v>34</v>
      </c>
      <c r="C771" s="89"/>
      <c r="D771" s="9"/>
      <c r="E771" s="9"/>
      <c r="F771" s="9" t="s">
        <v>1106</v>
      </c>
      <c r="G771" s="88">
        <v>240</v>
      </c>
      <c r="H771" s="9" t="s">
        <v>463</v>
      </c>
      <c r="I771" s="9" t="s">
        <v>495</v>
      </c>
      <c r="J771" s="1061"/>
      <c r="K771" s="1063"/>
      <c r="L771" s="1063"/>
      <c r="M771" s="84"/>
      <c r="N771" s="2448"/>
      <c r="O771" s="1947"/>
      <c r="P771" s="1947"/>
      <c r="Q771" s="1987"/>
      <c r="R771" s="1988"/>
      <c r="V771" s="2448">
        <v>0</v>
      </c>
      <c r="W771" s="2522">
        <v>0</v>
      </c>
      <c r="X771" s="1"/>
    </row>
    <row r="772" spans="1:24" ht="39" hidden="1" x14ac:dyDescent="0.3">
      <c r="A772" s="844"/>
      <c r="B772" s="1954" t="s">
        <v>1004</v>
      </c>
      <c r="C772" s="735"/>
      <c r="D772" s="77"/>
      <c r="E772" s="77"/>
      <c r="F772" s="34" t="s">
        <v>1005</v>
      </c>
      <c r="G772" s="9"/>
      <c r="H772" s="9"/>
      <c r="I772" s="656"/>
      <c r="J772" s="30"/>
      <c r="K772" s="29"/>
      <c r="L772" s="527"/>
      <c r="M772" s="1576">
        <f>M773</f>
        <v>139.6</v>
      </c>
      <c r="N772" s="2450">
        <f>N773</f>
        <v>0</v>
      </c>
      <c r="O772" s="1947"/>
      <c r="P772" s="1947"/>
      <c r="Q772" s="1984">
        <f>Q773</f>
        <v>0</v>
      </c>
      <c r="R772" s="1985">
        <f>R773</f>
        <v>0</v>
      </c>
      <c r="V772" s="2450">
        <f>V773</f>
        <v>0</v>
      </c>
      <c r="W772" s="2521">
        <f>W773</f>
        <v>0</v>
      </c>
      <c r="X772" s="1"/>
    </row>
    <row r="773" spans="1:24" ht="16.899999999999999" hidden="1" customHeight="1" x14ac:dyDescent="0.3">
      <c r="A773" s="845"/>
      <c r="B773" s="744" t="s">
        <v>7</v>
      </c>
      <c r="C773" s="738"/>
      <c r="D773" s="2986"/>
      <c r="E773" s="2986"/>
      <c r="F773" s="142" t="s">
        <v>1005</v>
      </c>
      <c r="G773" s="142" t="s">
        <v>5</v>
      </c>
      <c r="H773" s="142"/>
      <c r="I773" s="740"/>
      <c r="J773" s="741"/>
      <c r="K773" s="742"/>
      <c r="L773" s="64"/>
      <c r="M773" s="1577">
        <f>M774</f>
        <v>139.6</v>
      </c>
      <c r="N773" s="2448">
        <f>N774</f>
        <v>0</v>
      </c>
      <c r="O773" s="1947"/>
      <c r="P773" s="1947"/>
      <c r="Q773" s="2010">
        <f>Q774</f>
        <v>0</v>
      </c>
      <c r="R773" s="1988">
        <f>R774</f>
        <v>0</v>
      </c>
      <c r="V773" s="2448">
        <f>V774</f>
        <v>0</v>
      </c>
      <c r="W773" s="2522">
        <f>W774</f>
        <v>0</v>
      </c>
      <c r="X773" s="1"/>
    </row>
    <row r="774" spans="1:24" ht="12.75" hidden="1" customHeight="1" x14ac:dyDescent="0.3">
      <c r="A774" s="844"/>
      <c r="B774" s="744" t="s">
        <v>93</v>
      </c>
      <c r="C774" s="735"/>
      <c r="D774" s="77"/>
      <c r="E774" s="77"/>
      <c r="F774" s="9" t="s">
        <v>1005</v>
      </c>
      <c r="G774" s="9" t="s">
        <v>5</v>
      </c>
      <c r="H774" s="9" t="s">
        <v>456</v>
      </c>
      <c r="I774" s="9" t="s">
        <v>573</v>
      </c>
      <c r="J774" s="30"/>
      <c r="K774" s="29"/>
      <c r="L774" s="28"/>
      <c r="M774" s="1558">
        <v>139.6</v>
      </c>
      <c r="N774" s="2448"/>
      <c r="O774" s="1947"/>
      <c r="P774" s="1947"/>
      <c r="Q774" s="2010"/>
      <c r="R774" s="1988"/>
      <c r="V774" s="2448"/>
      <c r="W774" s="2522"/>
      <c r="X774" s="1"/>
    </row>
    <row r="775" spans="1:24" ht="13" hidden="1" x14ac:dyDescent="0.3">
      <c r="A775" s="844"/>
      <c r="B775" s="1894" t="s">
        <v>830</v>
      </c>
      <c r="C775" s="735"/>
      <c r="D775" s="77"/>
      <c r="E775" s="77"/>
      <c r="F775" s="34" t="s">
        <v>958</v>
      </c>
      <c r="G775" s="9"/>
      <c r="H775" s="9"/>
      <c r="I775" s="9"/>
      <c r="J775" s="1434"/>
      <c r="K775" s="29"/>
      <c r="L775" s="28"/>
      <c r="M775" s="1558"/>
      <c r="N775" s="2448">
        <f>N776</f>
        <v>0</v>
      </c>
      <c r="O775" s="1947"/>
      <c r="P775" s="1947"/>
      <c r="Q775" s="2010">
        <f>Q776</f>
        <v>0</v>
      </c>
      <c r="R775" s="1988">
        <f>R776</f>
        <v>0</v>
      </c>
      <c r="V775" s="2448">
        <f>V776</f>
        <v>0</v>
      </c>
      <c r="W775" s="2522">
        <f>W776</f>
        <v>0</v>
      </c>
      <c r="X775" s="1"/>
    </row>
    <row r="776" spans="1:24" ht="13" hidden="1" x14ac:dyDescent="0.3">
      <c r="A776" s="844"/>
      <c r="B776" s="737" t="s">
        <v>256</v>
      </c>
      <c r="C776" s="735"/>
      <c r="D776" s="77"/>
      <c r="E776" s="77"/>
      <c r="F776" s="9" t="s">
        <v>958</v>
      </c>
      <c r="G776" s="9" t="s">
        <v>255</v>
      </c>
      <c r="H776" s="9"/>
      <c r="I776" s="9"/>
      <c r="J776" s="1434"/>
      <c r="K776" s="29"/>
      <c r="L776" s="28"/>
      <c r="M776" s="1558"/>
      <c r="N776" s="2448">
        <f>N777</f>
        <v>0</v>
      </c>
      <c r="O776" s="1947"/>
      <c r="P776" s="1947"/>
      <c r="Q776" s="2010">
        <f>Q777</f>
        <v>0</v>
      </c>
      <c r="R776" s="1988">
        <f>R777</f>
        <v>0</v>
      </c>
      <c r="V776" s="2448">
        <f>V777</f>
        <v>0</v>
      </c>
      <c r="W776" s="2522">
        <f>W777</f>
        <v>0</v>
      </c>
      <c r="X776" s="1"/>
    </row>
    <row r="777" spans="1:24" ht="13" hidden="1" x14ac:dyDescent="0.3">
      <c r="A777" s="844"/>
      <c r="B777" s="744" t="s">
        <v>87</v>
      </c>
      <c r="C777" s="735"/>
      <c r="D777" s="77"/>
      <c r="E777" s="77"/>
      <c r="F777" s="9" t="s">
        <v>958</v>
      </c>
      <c r="G777" s="9" t="s">
        <v>255</v>
      </c>
      <c r="H777" s="9" t="s">
        <v>453</v>
      </c>
      <c r="I777" s="9" t="s">
        <v>456</v>
      </c>
      <c r="J777" s="1434"/>
      <c r="K777" s="29"/>
      <c r="L777" s="28"/>
      <c r="M777" s="1558"/>
      <c r="N777" s="2448"/>
      <c r="O777" s="1947"/>
      <c r="P777" s="1947"/>
      <c r="Q777" s="2010"/>
      <c r="R777" s="1988"/>
      <c r="V777" s="2448"/>
      <c r="W777" s="2522"/>
      <c r="X777" s="1"/>
    </row>
    <row r="778" spans="1:24" ht="24.65" hidden="1" customHeight="1" x14ac:dyDescent="0.3">
      <c r="A778" s="844"/>
      <c r="B778" s="2012" t="s">
        <v>1011</v>
      </c>
      <c r="C778" s="735"/>
      <c r="D778" s="77"/>
      <c r="E778" s="77"/>
      <c r="F778" s="37" t="s">
        <v>1179</v>
      </c>
      <c r="G778" s="9"/>
      <c r="H778" s="9"/>
      <c r="I778" s="9"/>
      <c r="J778" s="1434"/>
      <c r="K778" s="29"/>
      <c r="L778" s="28"/>
      <c r="M778" s="1558"/>
      <c r="N778" s="2448">
        <f>N779</f>
        <v>0</v>
      </c>
      <c r="O778" s="1947"/>
      <c r="P778" s="1947"/>
      <c r="Q778" s="2010"/>
      <c r="R778" s="1988"/>
      <c r="V778" s="2448">
        <f t="shared" ref="V778:W780" si="273">V779</f>
        <v>0</v>
      </c>
      <c r="W778" s="2522">
        <f t="shared" si="273"/>
        <v>0</v>
      </c>
      <c r="X778" s="1"/>
    </row>
    <row r="779" spans="1:24" ht="26" hidden="1" x14ac:dyDescent="0.3">
      <c r="A779" s="844"/>
      <c r="B779" s="724" t="s">
        <v>948</v>
      </c>
      <c r="C779" s="735"/>
      <c r="D779" s="77"/>
      <c r="E779" s="77"/>
      <c r="F779" s="10" t="s">
        <v>1179</v>
      </c>
      <c r="G779" s="9" t="s">
        <v>955</v>
      </c>
      <c r="H779" s="9"/>
      <c r="I779" s="9"/>
      <c r="J779" s="1434"/>
      <c r="K779" s="29"/>
      <c r="L779" s="28"/>
      <c r="M779" s="1558"/>
      <c r="N779" s="2448">
        <f>N780</f>
        <v>0</v>
      </c>
      <c r="O779" s="1947"/>
      <c r="P779" s="1947"/>
      <c r="Q779" s="2010"/>
      <c r="R779" s="1988"/>
      <c r="V779" s="2448">
        <f t="shared" si="273"/>
        <v>0</v>
      </c>
      <c r="W779" s="2522">
        <f t="shared" si="273"/>
        <v>0</v>
      </c>
      <c r="X779" s="1"/>
    </row>
    <row r="780" spans="1:24" ht="26" hidden="1" x14ac:dyDescent="0.3">
      <c r="A780" s="844"/>
      <c r="B780" s="1993" t="s">
        <v>4</v>
      </c>
      <c r="C780" s="735"/>
      <c r="D780" s="77"/>
      <c r="E780" s="77"/>
      <c r="F780" s="10" t="s">
        <v>1179</v>
      </c>
      <c r="G780" s="9" t="s">
        <v>1</v>
      </c>
      <c r="H780" s="9"/>
      <c r="I780" s="9"/>
      <c r="J780" s="1434"/>
      <c r="K780" s="29"/>
      <c r="L780" s="28"/>
      <c r="M780" s="1558"/>
      <c r="N780" s="2448">
        <f>N781</f>
        <v>0</v>
      </c>
      <c r="O780" s="1947"/>
      <c r="P780" s="1947"/>
      <c r="Q780" s="2010"/>
      <c r="R780" s="1988"/>
      <c r="V780" s="2448">
        <f t="shared" si="273"/>
        <v>0</v>
      </c>
      <c r="W780" s="2522">
        <f t="shared" si="273"/>
        <v>0</v>
      </c>
      <c r="X780" s="1"/>
    </row>
    <row r="781" spans="1:24" ht="13" hidden="1" x14ac:dyDescent="0.3">
      <c r="A781" s="844"/>
      <c r="B781" s="744" t="s">
        <v>530</v>
      </c>
      <c r="C781" s="735"/>
      <c r="D781" s="77"/>
      <c r="E781" s="77"/>
      <c r="F781" s="10" t="s">
        <v>1179</v>
      </c>
      <c r="G781" s="9" t="s">
        <v>1</v>
      </c>
      <c r="H781" s="9" t="s">
        <v>463</v>
      </c>
      <c r="I781" s="9" t="s">
        <v>488</v>
      </c>
      <c r="J781" s="1434"/>
      <c r="K781" s="29"/>
      <c r="L781" s="28"/>
      <c r="M781" s="1558"/>
      <c r="N781" s="2448">
        <v>0</v>
      </c>
      <c r="O781" s="1947"/>
      <c r="P781" s="1947"/>
      <c r="Q781" s="2010"/>
      <c r="R781" s="1988"/>
      <c r="V781" s="2448">
        <v>0</v>
      </c>
      <c r="W781" s="2522">
        <v>0</v>
      </c>
      <c r="X781" s="1"/>
    </row>
    <row r="782" spans="1:24" ht="26.15" hidden="1" customHeight="1" x14ac:dyDescent="0.3">
      <c r="A782" s="844"/>
      <c r="B782" s="2012" t="s">
        <v>1193</v>
      </c>
      <c r="C782" s="735"/>
      <c r="D782" s="77"/>
      <c r="E782" s="77"/>
      <c r="F782" s="34" t="s">
        <v>524</v>
      </c>
      <c r="G782" s="9"/>
      <c r="H782" s="142"/>
      <c r="I782" s="142"/>
      <c r="J782" s="1434"/>
      <c r="K782" s="29"/>
      <c r="L782" s="28"/>
      <c r="M782" s="1558"/>
      <c r="N782" s="2450">
        <f>N783+N788</f>
        <v>0</v>
      </c>
      <c r="O782" s="1947"/>
      <c r="P782" s="1947"/>
      <c r="Q782" s="2010"/>
      <c r="R782" s="1988"/>
      <c r="V782" s="2448">
        <f t="shared" ref="V782:W784" si="274">V783</f>
        <v>0</v>
      </c>
      <c r="W782" s="2522">
        <f t="shared" si="274"/>
        <v>0</v>
      </c>
      <c r="X782" s="1"/>
    </row>
    <row r="783" spans="1:24" ht="26" hidden="1" x14ac:dyDescent="0.3">
      <c r="A783" s="844"/>
      <c r="B783" s="724" t="s">
        <v>948</v>
      </c>
      <c r="C783" s="735"/>
      <c r="D783" s="77"/>
      <c r="E783" s="77"/>
      <c r="F783" s="10" t="s">
        <v>524</v>
      </c>
      <c r="G783" s="9" t="s">
        <v>955</v>
      </c>
      <c r="H783" s="142"/>
      <c r="I783" s="142"/>
      <c r="J783" s="1434"/>
      <c r="K783" s="29"/>
      <c r="L783" s="28"/>
      <c r="M783" s="1558"/>
      <c r="N783" s="2448">
        <f>N784</f>
        <v>0</v>
      </c>
      <c r="O783" s="1947"/>
      <c r="P783" s="1947"/>
      <c r="Q783" s="2010"/>
      <c r="R783" s="1988"/>
      <c r="V783" s="2448">
        <f t="shared" si="274"/>
        <v>0</v>
      </c>
      <c r="W783" s="2522">
        <f t="shared" si="274"/>
        <v>0</v>
      </c>
      <c r="X783" s="1"/>
    </row>
    <row r="784" spans="1:24" ht="26" hidden="1" x14ac:dyDescent="0.3">
      <c r="A784" s="844"/>
      <c r="B784" s="1993" t="s">
        <v>4</v>
      </c>
      <c r="C784" s="735"/>
      <c r="D784" s="77"/>
      <c r="E784" s="77"/>
      <c r="F784" s="10" t="s">
        <v>524</v>
      </c>
      <c r="G784" s="9" t="s">
        <v>1</v>
      </c>
      <c r="H784" s="142"/>
      <c r="I784" s="142"/>
      <c r="J784" s="1434"/>
      <c r="K784" s="29"/>
      <c r="L784" s="28"/>
      <c r="M784" s="1558"/>
      <c r="N784" s="2448">
        <f>N785</f>
        <v>0</v>
      </c>
      <c r="O784" s="1947"/>
      <c r="P784" s="1947"/>
      <c r="Q784" s="2010"/>
      <c r="R784" s="1988"/>
      <c r="V784" s="2448">
        <f t="shared" si="274"/>
        <v>0</v>
      </c>
      <c r="W784" s="2522">
        <f t="shared" si="274"/>
        <v>0</v>
      </c>
      <c r="X784" s="1"/>
    </row>
    <row r="785" spans="1:24" ht="13" hidden="1" x14ac:dyDescent="0.3">
      <c r="A785" s="844"/>
      <c r="B785" s="744" t="s">
        <v>530</v>
      </c>
      <c r="C785" s="735"/>
      <c r="D785" s="77"/>
      <c r="E785" s="77"/>
      <c r="F785" s="10" t="s">
        <v>524</v>
      </c>
      <c r="G785" s="9" t="s">
        <v>1</v>
      </c>
      <c r="H785" s="142" t="s">
        <v>463</v>
      </c>
      <c r="I785" s="142" t="s">
        <v>488</v>
      </c>
      <c r="J785" s="1434"/>
      <c r="K785" s="29"/>
      <c r="L785" s="28"/>
      <c r="M785" s="1558"/>
      <c r="N785" s="2448">
        <v>0</v>
      </c>
      <c r="O785" s="1947"/>
      <c r="P785" s="1947"/>
      <c r="Q785" s="2010"/>
      <c r="R785" s="1988"/>
      <c r="V785" s="2448">
        <v>0</v>
      </c>
      <c r="W785" s="2522">
        <v>0</v>
      </c>
      <c r="X785" s="1"/>
    </row>
    <row r="786" spans="1:24" ht="13" hidden="1" x14ac:dyDescent="0.3">
      <c r="A786" s="844"/>
      <c r="B786" s="2362" t="s">
        <v>1065</v>
      </c>
      <c r="C786" s="735"/>
      <c r="D786" s="77"/>
      <c r="E786" s="77"/>
      <c r="F786" s="10" t="s">
        <v>524</v>
      </c>
      <c r="G786" s="9" t="s">
        <v>1064</v>
      </c>
      <c r="H786" s="142"/>
      <c r="I786" s="142"/>
      <c r="J786" s="1434"/>
      <c r="K786" s="29"/>
      <c r="L786" s="28"/>
      <c r="M786" s="1558"/>
      <c r="N786" s="2448">
        <f>N787</f>
        <v>0</v>
      </c>
      <c r="O786" s="1947"/>
      <c r="P786" s="1947"/>
      <c r="Q786" s="2010"/>
      <c r="R786" s="1988"/>
      <c r="V786" s="2448">
        <f>V787</f>
        <v>0</v>
      </c>
      <c r="W786" s="2522">
        <f>W787</f>
        <v>0</v>
      </c>
      <c r="X786" s="1"/>
    </row>
    <row r="787" spans="1:24" ht="13" hidden="1" x14ac:dyDescent="0.3">
      <c r="A787" s="844"/>
      <c r="B787" s="744" t="s">
        <v>97</v>
      </c>
      <c r="C787" s="735"/>
      <c r="D787" s="77"/>
      <c r="E787" s="77"/>
      <c r="F787" s="10" t="s">
        <v>524</v>
      </c>
      <c r="G787" s="9" t="s">
        <v>95</v>
      </c>
      <c r="H787" s="142"/>
      <c r="I787" s="142"/>
      <c r="J787" s="1434"/>
      <c r="K787" s="29"/>
      <c r="L787" s="28"/>
      <c r="M787" s="1558"/>
      <c r="N787" s="2448">
        <f>N788</f>
        <v>0</v>
      </c>
      <c r="O787" s="1947"/>
      <c r="P787" s="1947"/>
      <c r="Q787" s="2010"/>
      <c r="R787" s="1988"/>
      <c r="V787" s="2448">
        <f>V788</f>
        <v>0</v>
      </c>
      <c r="W787" s="2522">
        <f>W788</f>
        <v>0</v>
      </c>
      <c r="X787" s="1"/>
    </row>
    <row r="788" spans="1:24" ht="13" hidden="1" x14ac:dyDescent="0.3">
      <c r="A788" s="844"/>
      <c r="B788" s="744" t="s">
        <v>530</v>
      </c>
      <c r="C788" s="735"/>
      <c r="D788" s="77"/>
      <c r="E788" s="77"/>
      <c r="F788" s="10" t="s">
        <v>524</v>
      </c>
      <c r="G788" s="9" t="s">
        <v>95</v>
      </c>
      <c r="H788" s="142" t="s">
        <v>463</v>
      </c>
      <c r="I788" s="142" t="s">
        <v>488</v>
      </c>
      <c r="J788" s="1434"/>
      <c r="K788" s="29"/>
      <c r="L788" s="28"/>
      <c r="M788" s="1558"/>
      <c r="N788" s="2448">
        <v>0</v>
      </c>
      <c r="O788" s="1947"/>
      <c r="P788" s="1947"/>
      <c r="Q788" s="2010"/>
      <c r="R788" s="1988"/>
      <c r="V788" s="2448">
        <v>0</v>
      </c>
      <c r="W788" s="2522">
        <v>0</v>
      </c>
      <c r="X788" s="1"/>
    </row>
    <row r="789" spans="1:24" ht="13" x14ac:dyDescent="0.3">
      <c r="A789" s="32"/>
      <c r="B789" s="2124" t="s">
        <v>12</v>
      </c>
      <c r="C789" s="31"/>
      <c r="D789" s="9"/>
      <c r="E789" s="9"/>
      <c r="F789" s="34" t="s">
        <v>10</v>
      </c>
      <c r="G789" s="33"/>
      <c r="H789" s="2355"/>
      <c r="I789" s="142"/>
      <c r="J789" s="28">
        <f>J791</f>
        <v>1109.2180000000001</v>
      </c>
      <c r="K789" s="30"/>
      <c r="L789" s="29"/>
      <c r="M789" s="1569"/>
      <c r="N789" s="2452">
        <f>N791</f>
        <v>1150.7970800000001</v>
      </c>
      <c r="O789" s="1961">
        <f>O791</f>
        <v>799.11500000000001</v>
      </c>
      <c r="P789" s="1961">
        <f>P791</f>
        <v>895.01</v>
      </c>
      <c r="Q789" s="2097">
        <f>Q791</f>
        <v>947.01</v>
      </c>
      <c r="R789" s="2098">
        <f>R791</f>
        <v>947.01</v>
      </c>
      <c r="V789" s="2452">
        <f>V791</f>
        <v>1217.085</v>
      </c>
      <c r="W789" s="2523">
        <f>W791</f>
        <v>1217.085</v>
      </c>
      <c r="X789" s="1"/>
    </row>
    <row r="790" spans="1:24" ht="26" x14ac:dyDescent="0.3">
      <c r="A790" s="32"/>
      <c r="B790" s="724" t="s">
        <v>948</v>
      </c>
      <c r="C790" s="31"/>
      <c r="D790" s="9"/>
      <c r="E790" s="9"/>
      <c r="F790" s="9" t="s">
        <v>10</v>
      </c>
      <c r="G790" s="33" t="s">
        <v>955</v>
      </c>
      <c r="H790" s="33"/>
      <c r="I790" s="9"/>
      <c r="J790" s="28"/>
      <c r="K790" s="30"/>
      <c r="L790" s="29"/>
      <c r="M790" s="1569"/>
      <c r="N790" s="2451">
        <f>N791</f>
        <v>1150.7970800000001</v>
      </c>
      <c r="O790" s="1961"/>
      <c r="P790" s="1961"/>
      <c r="Q790" s="2097"/>
      <c r="R790" s="2098"/>
      <c r="V790" s="2451">
        <f t="shared" ref="V790:W790" si="275">V791</f>
        <v>1217.085</v>
      </c>
      <c r="W790" s="2524">
        <f t="shared" si="275"/>
        <v>1217.085</v>
      </c>
      <c r="X790" s="1"/>
    </row>
    <row r="791" spans="1:24" ht="26" x14ac:dyDescent="0.3">
      <c r="A791" s="32"/>
      <c r="B791" s="1993" t="s">
        <v>4</v>
      </c>
      <c r="C791" s="31"/>
      <c r="D791" s="9"/>
      <c r="E791" s="9"/>
      <c r="F791" s="9" t="s">
        <v>10</v>
      </c>
      <c r="G791" s="9" t="s">
        <v>1</v>
      </c>
      <c r="H791" s="9"/>
      <c r="I791" s="9"/>
      <c r="J791" s="28">
        <f>J792</f>
        <v>1109.2180000000001</v>
      </c>
      <c r="K791" s="30"/>
      <c r="L791" s="29"/>
      <c r="M791" s="1569"/>
      <c r="N791" s="2451">
        <f t="shared" ref="N791:R791" si="276">N792</f>
        <v>1150.7970800000001</v>
      </c>
      <c r="O791" s="1961">
        <f t="shared" si="276"/>
        <v>799.11500000000001</v>
      </c>
      <c r="P791" s="1961">
        <f t="shared" si="276"/>
        <v>895.01</v>
      </c>
      <c r="Q791" s="2093">
        <f t="shared" si="276"/>
        <v>947.01</v>
      </c>
      <c r="R791" s="2094">
        <f t="shared" si="276"/>
        <v>947.01</v>
      </c>
      <c r="V791" s="2451">
        <f t="shared" ref="V791:W791" si="277">V792</f>
        <v>1217.085</v>
      </c>
      <c r="W791" s="2524">
        <f t="shared" si="277"/>
        <v>1217.085</v>
      </c>
      <c r="X791" s="1"/>
    </row>
    <row r="792" spans="1:24" ht="13.5" thickBot="1" x14ac:dyDescent="0.35">
      <c r="A792" s="26"/>
      <c r="B792" s="1488" t="s">
        <v>11</v>
      </c>
      <c r="C792" s="1778"/>
      <c r="D792" s="25"/>
      <c r="E792" s="25"/>
      <c r="F792" s="25" t="s">
        <v>10</v>
      </c>
      <c r="G792" s="25" t="s">
        <v>1</v>
      </c>
      <c r="H792" s="25" t="s">
        <v>463</v>
      </c>
      <c r="I792" s="25" t="s">
        <v>456</v>
      </c>
      <c r="J792" s="1779">
        <v>1109.2180000000001</v>
      </c>
      <c r="K792" s="1780"/>
      <c r="L792" s="1492"/>
      <c r="M792" s="1781"/>
      <c r="N792" s="2548">
        <v>1150.7970800000001</v>
      </c>
      <c r="O792" s="2126">
        <v>799.11500000000001</v>
      </c>
      <c r="P792" s="2127">
        <v>895.01</v>
      </c>
      <c r="Q792" s="2128">
        <v>947.01</v>
      </c>
      <c r="R792" s="2129">
        <v>947.01</v>
      </c>
      <c r="V792" s="2548">
        <v>1217.085</v>
      </c>
      <c r="W792" s="2549">
        <v>1217.085</v>
      </c>
    </row>
    <row r="793" spans="1:24" ht="26" hidden="1" x14ac:dyDescent="0.3">
      <c r="A793" s="145"/>
      <c r="B793" s="23" t="s">
        <v>8</v>
      </c>
      <c r="C793" s="22"/>
      <c r="D793" s="20"/>
      <c r="E793" s="20"/>
      <c r="F793" s="21" t="s">
        <v>2</v>
      </c>
      <c r="G793" s="20"/>
      <c r="H793" s="20"/>
      <c r="I793" s="20"/>
      <c r="J793" s="1146">
        <f>J794+J796</f>
        <v>600.79999999999995</v>
      </c>
      <c r="K793" s="1147"/>
      <c r="L793" s="1148">
        <f t="shared" ref="L793:R793" si="278">L794+L796</f>
        <v>605.88300000000004</v>
      </c>
      <c r="M793" s="1148">
        <f t="shared" si="278"/>
        <v>605.88300000000004</v>
      </c>
      <c r="N793" s="2492">
        <f t="shared" si="278"/>
        <v>0</v>
      </c>
      <c r="O793" s="2131">
        <f t="shared" si="278"/>
        <v>600.79999999999995</v>
      </c>
      <c r="P793" s="2132">
        <f t="shared" si="278"/>
        <v>600.79999999999995</v>
      </c>
      <c r="Q793" s="2133">
        <f t="shared" si="278"/>
        <v>0</v>
      </c>
      <c r="R793" s="2133">
        <f t="shared" si="278"/>
        <v>0</v>
      </c>
      <c r="V793" s="2492">
        <f t="shared" ref="V793:W793" si="279">V794+V796</f>
        <v>0</v>
      </c>
      <c r="W793" s="2542">
        <f t="shared" si="279"/>
        <v>0</v>
      </c>
    </row>
    <row r="794" spans="1:24" ht="13" hidden="1" x14ac:dyDescent="0.3">
      <c r="A794" s="32"/>
      <c r="B794" s="744" t="s">
        <v>7</v>
      </c>
      <c r="C794" s="911"/>
      <c r="D794" s="11"/>
      <c r="E794" s="11"/>
      <c r="F794" s="10" t="s">
        <v>2</v>
      </c>
      <c r="G794" s="9" t="s">
        <v>5</v>
      </c>
      <c r="H794" s="9"/>
      <c r="I794" s="11"/>
      <c r="J794" s="1063">
        <f>J795</f>
        <v>493.39</v>
      </c>
      <c r="K794" s="1150"/>
      <c r="L794" s="1063">
        <v>555.32000000000005</v>
      </c>
      <c r="M794" s="1063">
        <v>555.32000000000005</v>
      </c>
      <c r="N794" s="2493">
        <f>N795</f>
        <v>0</v>
      </c>
      <c r="O794" s="1947">
        <f>O795</f>
        <v>493.39</v>
      </c>
      <c r="P794" s="1941">
        <f>P795</f>
        <v>493.39</v>
      </c>
      <c r="Q794" s="2057">
        <f>Q795</f>
        <v>0</v>
      </c>
      <c r="R794" s="2057">
        <f>R795</f>
        <v>0</v>
      </c>
      <c r="V794" s="2493">
        <f>V795</f>
        <v>0</v>
      </c>
      <c r="W794" s="2543">
        <f>W795</f>
        <v>0</v>
      </c>
    </row>
    <row r="795" spans="1:24" ht="13" hidden="1" x14ac:dyDescent="0.3">
      <c r="A795" s="32"/>
      <c r="B795" s="744" t="s">
        <v>6</v>
      </c>
      <c r="C795" s="911"/>
      <c r="D795" s="11"/>
      <c r="E795" s="11"/>
      <c r="F795" s="10" t="s">
        <v>2</v>
      </c>
      <c r="G795" s="9" t="s">
        <v>5</v>
      </c>
      <c r="H795" s="9" t="s">
        <v>488</v>
      </c>
      <c r="I795" s="9" t="s">
        <v>495</v>
      </c>
      <c r="J795" s="1063">
        <f>378.948+114.442</f>
        <v>493.39</v>
      </c>
      <c r="K795" s="1150"/>
      <c r="L795" s="1063">
        <v>555.32000000000005</v>
      </c>
      <c r="M795" s="1063">
        <v>555.32000000000005</v>
      </c>
      <c r="N795" s="2493"/>
      <c r="O795" s="1947">
        <f>378.948+114.442</f>
        <v>493.39</v>
      </c>
      <c r="P795" s="1941">
        <f>378.948+114.442</f>
        <v>493.39</v>
      </c>
      <c r="Q795" s="2057"/>
      <c r="R795" s="2057"/>
      <c r="V795" s="2493"/>
      <c r="W795" s="2543"/>
    </row>
    <row r="796" spans="1:24" ht="26" hidden="1" x14ac:dyDescent="0.3">
      <c r="A796" s="32"/>
      <c r="B796" s="1993" t="s">
        <v>4</v>
      </c>
      <c r="C796" s="911"/>
      <c r="D796" s="11"/>
      <c r="E796" s="11"/>
      <c r="F796" s="10" t="s">
        <v>2</v>
      </c>
      <c r="G796" s="9" t="s">
        <v>1</v>
      </c>
      <c r="H796" s="9"/>
      <c r="I796" s="9"/>
      <c r="J796" s="1142">
        <f>J797</f>
        <v>107.41</v>
      </c>
      <c r="K796" s="1150"/>
      <c r="L796" s="1150">
        <v>50.563000000000002</v>
      </c>
      <c r="M796" s="1150">
        <v>50.563000000000002</v>
      </c>
      <c r="N796" s="2494">
        <f>N797</f>
        <v>0</v>
      </c>
      <c r="O796" s="2115">
        <f>O797</f>
        <v>107.41</v>
      </c>
      <c r="P796" s="2116">
        <f>P797</f>
        <v>107.41</v>
      </c>
      <c r="Q796" s="2136">
        <f>Q797</f>
        <v>0</v>
      </c>
      <c r="R796" s="2136">
        <f>R797</f>
        <v>0</v>
      </c>
      <c r="V796" s="2494">
        <f>V797</f>
        <v>0</v>
      </c>
      <c r="W796" s="2544">
        <f>W797</f>
        <v>0</v>
      </c>
    </row>
    <row r="797" spans="1:24" ht="13.5" hidden="1" thickBot="1" x14ac:dyDescent="0.3">
      <c r="A797" s="26"/>
      <c r="B797" s="943" t="s">
        <v>3</v>
      </c>
      <c r="C797" s="896"/>
      <c r="D797" s="897"/>
      <c r="E797" s="897"/>
      <c r="F797" s="898" t="s">
        <v>2</v>
      </c>
      <c r="G797" s="25" t="s">
        <v>1</v>
      </c>
      <c r="H797" s="25" t="s">
        <v>488</v>
      </c>
      <c r="I797" s="25" t="s">
        <v>495</v>
      </c>
      <c r="J797" s="1154">
        <f>86.41+21</f>
        <v>107.41</v>
      </c>
      <c r="K797" s="1155"/>
      <c r="L797" s="1155">
        <v>50.563000000000002</v>
      </c>
      <c r="M797" s="1155">
        <v>50.563000000000002</v>
      </c>
      <c r="N797" s="2495"/>
      <c r="O797" s="1947">
        <f>86.41+21</f>
        <v>107.41</v>
      </c>
      <c r="P797" s="1941">
        <f>86.41+21</f>
        <v>107.41</v>
      </c>
      <c r="Q797" s="2138"/>
      <c r="R797" s="2138"/>
      <c r="V797" s="2495"/>
      <c r="W797" s="2545"/>
    </row>
    <row r="798" spans="1:24" ht="13" customHeight="1" thickBot="1" x14ac:dyDescent="0.35">
      <c r="A798" s="2571"/>
      <c r="B798" s="2568" t="s">
        <v>1231</v>
      </c>
      <c r="C798" s="2387"/>
      <c r="D798" s="2388"/>
      <c r="E798" s="2388"/>
      <c r="F798" s="2388"/>
      <c r="G798" s="2388"/>
      <c r="H798" s="2388"/>
      <c r="I798" s="2569"/>
      <c r="N798" s="2570"/>
      <c r="V798" s="2572">
        <v>2938.2</v>
      </c>
      <c r="W798" s="2575">
        <v>5648</v>
      </c>
    </row>
    <row r="799" spans="1:24" ht="12.65" customHeight="1" thickBot="1" x14ac:dyDescent="0.35">
      <c r="A799" s="2571"/>
      <c r="B799" s="2389" t="s">
        <v>1205</v>
      </c>
      <c r="C799" s="2387"/>
      <c r="D799" s="2388"/>
      <c r="E799" s="2388"/>
      <c r="F799" s="2388"/>
      <c r="G799" s="2388"/>
      <c r="H799" s="2388"/>
      <c r="I799" s="2569"/>
      <c r="N799" s="2572">
        <f>N195</f>
        <v>164590.70134</v>
      </c>
      <c r="O799" s="2573"/>
      <c r="P799" s="2573"/>
      <c r="Q799" s="2573"/>
      <c r="R799" s="2573"/>
      <c r="S799" s="2574">
        <v>170.6</v>
      </c>
      <c r="T799" s="2574">
        <v>152.1</v>
      </c>
      <c r="U799" s="2574">
        <v>938.1</v>
      </c>
      <c r="V799" s="2572">
        <f>V798+V195</f>
        <v>112841.55399999999</v>
      </c>
      <c r="W799" s="2575">
        <f>W798+W195</f>
        <v>112966.156</v>
      </c>
    </row>
    <row r="801" spans="2:23" hidden="1" x14ac:dyDescent="0.25">
      <c r="V801" s="2460" t="s">
        <v>1230</v>
      </c>
    </row>
    <row r="802" spans="2:23" hidden="1" x14ac:dyDescent="0.25">
      <c r="N802" s="2460">
        <v>150473.16643000001</v>
      </c>
      <c r="V802" s="2460">
        <v>112841.554</v>
      </c>
      <c r="W802" s="2502">
        <v>112966.156</v>
      </c>
    </row>
    <row r="803" spans="2:23" hidden="1" x14ac:dyDescent="0.25">
      <c r="N803" s="2460">
        <f>N802-N195</f>
        <v>-14117.534909999988</v>
      </c>
      <c r="V803" s="2460">
        <f>V802-V799</f>
        <v>0</v>
      </c>
      <c r="W803" s="2502">
        <f>W802-W799</f>
        <v>0</v>
      </c>
    </row>
    <row r="804" spans="2:23" hidden="1" x14ac:dyDescent="0.25"/>
    <row r="806" spans="2:23" ht="13" x14ac:dyDescent="0.3">
      <c r="B806" s="195"/>
    </row>
  </sheetData>
  <mergeCells count="24">
    <mergeCell ref="G745:J745"/>
    <mergeCell ref="B18:J18"/>
    <mergeCell ref="A19:R19"/>
    <mergeCell ref="A20:R20"/>
    <mergeCell ref="A21:R21"/>
    <mergeCell ref="A22:R22"/>
    <mergeCell ref="A23:R23"/>
    <mergeCell ref="G133:J133"/>
    <mergeCell ref="G134:J134"/>
    <mergeCell ref="G698:J698"/>
    <mergeCell ref="G699:J699"/>
    <mergeCell ref="G744:J744"/>
    <mergeCell ref="G11:N11"/>
    <mergeCell ref="Q11:R11"/>
    <mergeCell ref="I8:N8"/>
    <mergeCell ref="Q8:R8"/>
    <mergeCell ref="F9:N9"/>
    <mergeCell ref="Q9:R9"/>
    <mergeCell ref="Q10:R10"/>
    <mergeCell ref="V1:W1"/>
    <mergeCell ref="V2:W2"/>
    <mergeCell ref="V3:W3"/>
    <mergeCell ref="V4:W4"/>
    <mergeCell ref="V5:W5"/>
  </mergeCells>
  <pageMargins left="0.59055118110236227" right="0.15748031496062992" top="0.43307086614173229" bottom="0.31496062992125984" header="0.35433070866141736" footer="0.19685039370078741"/>
  <pageSetup paperSize="9" scale="39" firstPageNumber="55" fitToHeight="5" orientation="portrait" useFirstPageNumber="1" r:id="rId1"/>
  <headerFooter alignWithMargins="0"/>
  <rowBreaks count="1" manualBreakCount="1">
    <brk id="265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6" width="22.1796875" style="1906" hidden="1" customWidth="1"/>
    <col min="17" max="18" width="22.1796875" style="1906" customWidth="1"/>
    <col min="19" max="21" width="10.26953125" style="2" hidden="1" customWidth="1"/>
    <col min="22" max="22" width="9.1796875" style="2"/>
    <col min="23" max="23" width="28.54296875" style="2" customWidth="1"/>
    <col min="24" max="24" width="18.81640625" style="2" customWidth="1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3023"/>
      <c r="J2" s="3023"/>
      <c r="K2" s="3023"/>
      <c r="L2" s="3023"/>
      <c r="M2" s="3023"/>
      <c r="N2" s="3023"/>
      <c r="O2" s="1910"/>
      <c r="P2" s="1909"/>
      <c r="Q2" s="3476" t="s">
        <v>450</v>
      </c>
      <c r="R2" s="3476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3023"/>
      <c r="G3" s="3023"/>
      <c r="H3" s="3023"/>
      <c r="I3" s="3023"/>
      <c r="J3" s="3023"/>
      <c r="K3" s="3023"/>
      <c r="L3" s="3023"/>
      <c r="M3" s="3023"/>
      <c r="N3" s="3023"/>
      <c r="O3" s="1909"/>
      <c r="P3" s="1909"/>
      <c r="Q3" s="3476" t="s">
        <v>449</v>
      </c>
      <c r="R3" s="3476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476" t="s">
        <v>448</v>
      </c>
      <c r="R4" s="3476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1824" t="s">
        <v>447</v>
      </c>
      <c r="E5" s="1824"/>
      <c r="F5" s="1824"/>
      <c r="G5" s="3284"/>
      <c r="H5" s="3284"/>
      <c r="I5" s="3284"/>
      <c r="J5" s="3284"/>
      <c r="K5" s="3284"/>
      <c r="L5" s="3284"/>
      <c r="M5" s="3284"/>
      <c r="N5" s="3284"/>
      <c r="O5" s="1913"/>
      <c r="P5" s="1913"/>
      <c r="Q5" s="3475" t="s">
        <v>991</v>
      </c>
      <c r="R5" s="3475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5" x14ac:dyDescent="0.3"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5" customHeight="1" x14ac:dyDescent="0.3">
      <c r="A13" s="3481" t="s">
        <v>441</v>
      </c>
      <c r="B13" s="3481"/>
      <c r="C13" s="3481"/>
      <c r="D13" s="3481"/>
      <c r="E13" s="3481"/>
      <c r="F13" s="3481"/>
      <c r="G13" s="3481"/>
      <c r="H13" s="3481"/>
      <c r="I13" s="3481"/>
      <c r="J13" s="3481"/>
      <c r="K13" s="3481"/>
      <c r="L13" s="3481"/>
      <c r="M13" s="3481"/>
      <c r="N13" s="3481"/>
      <c r="O13" s="3481"/>
      <c r="P13" s="3481"/>
      <c r="Q13" s="3481"/>
      <c r="R13" s="3481"/>
    </row>
    <row r="14" spans="1:256" ht="17.5" customHeight="1" x14ac:dyDescent="0.3">
      <c r="A14" s="3482" t="s">
        <v>440</v>
      </c>
      <c r="B14" s="3482"/>
      <c r="C14" s="3482"/>
      <c r="D14" s="3482"/>
      <c r="E14" s="3482"/>
      <c r="F14" s="3482"/>
      <c r="G14" s="3482"/>
      <c r="H14" s="3482"/>
      <c r="I14" s="3482"/>
      <c r="J14" s="3482"/>
      <c r="K14" s="3482"/>
      <c r="L14" s="3482"/>
      <c r="M14" s="3482"/>
      <c r="N14" s="3482"/>
      <c r="O14" s="3482"/>
      <c r="P14" s="3482"/>
      <c r="Q14" s="3482"/>
      <c r="R14" s="3482"/>
    </row>
    <row r="15" spans="1:256" ht="15" customHeight="1" x14ac:dyDescent="0.3">
      <c r="A15" s="3481" t="s">
        <v>439</v>
      </c>
      <c r="B15" s="3481"/>
      <c r="C15" s="3481"/>
      <c r="D15" s="3481"/>
      <c r="E15" s="3481"/>
      <c r="F15" s="3481"/>
      <c r="G15" s="3481"/>
      <c r="H15" s="3481"/>
      <c r="I15" s="3481"/>
      <c r="J15" s="3481"/>
      <c r="K15" s="3481"/>
      <c r="L15" s="3481"/>
      <c r="M15" s="3481"/>
      <c r="N15" s="3481"/>
      <c r="O15" s="3481"/>
      <c r="P15" s="3481"/>
      <c r="Q15" s="3481"/>
      <c r="R15" s="3481"/>
    </row>
    <row r="16" spans="1:256" ht="13.5" customHeight="1" x14ac:dyDescent="0.3">
      <c r="A16" s="3481" t="s">
        <v>438</v>
      </c>
      <c r="B16" s="3481"/>
      <c r="C16" s="3481"/>
      <c r="D16" s="3481"/>
      <c r="E16" s="3481"/>
      <c r="F16" s="3481"/>
      <c r="G16" s="3481"/>
      <c r="H16" s="3481"/>
      <c r="I16" s="3481"/>
      <c r="J16" s="3481"/>
      <c r="K16" s="3481"/>
      <c r="L16" s="3481"/>
      <c r="M16" s="3481"/>
      <c r="N16" s="3481"/>
      <c r="O16" s="3481"/>
      <c r="P16" s="3481"/>
      <c r="Q16" s="3481"/>
      <c r="R16" s="3481"/>
    </row>
    <row r="17" spans="1:24" ht="16.149999999999999" customHeight="1" x14ac:dyDescent="0.3">
      <c r="A17" s="3481" t="s">
        <v>969</v>
      </c>
      <c r="B17" s="3481"/>
      <c r="C17" s="3481"/>
      <c r="D17" s="3481"/>
      <c r="E17" s="3481"/>
      <c r="F17" s="3481"/>
      <c r="G17" s="3481"/>
      <c r="H17" s="3481"/>
      <c r="I17" s="3481"/>
      <c r="J17" s="3481"/>
      <c r="K17" s="3481"/>
      <c r="L17" s="3481"/>
      <c r="M17" s="3481"/>
      <c r="N17" s="3481"/>
      <c r="O17" s="3481"/>
      <c r="P17" s="3481"/>
      <c r="Q17" s="3481"/>
      <c r="R17" s="348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3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3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3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3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3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3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3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3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3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3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3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5" hidden="1" customHeight="1" x14ac:dyDescent="0.3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3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3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3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3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3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5" customHeight="1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5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3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3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 x14ac:dyDescent="0.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 x14ac:dyDescent="0.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 x14ac:dyDescent="0.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 x14ac:dyDescent="0.3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49999999999999" customHeight="1" x14ac:dyDescent="0.3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3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13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ht="13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5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5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6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6" hidden="1" x14ac:dyDescent="0.3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6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6" x14ac:dyDescent="0.3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ht="13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ht="13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6" x14ac:dyDescent="0.3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5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2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ht="13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5" customHeight="1" x14ac:dyDescent="0.3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3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 x14ac:dyDescent="0.3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 x14ac:dyDescent="0.3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 x14ac:dyDescent="0.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 x14ac:dyDescent="0.3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3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 x14ac:dyDescent="0.3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 x14ac:dyDescent="0.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 x14ac:dyDescent="0.3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 x14ac:dyDescent="0.3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 x14ac:dyDescent="0.3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 x14ac:dyDescent="0.3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 x14ac:dyDescent="0.3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 x14ac:dyDescent="0.3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 x14ac:dyDescent="0.3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 x14ac:dyDescent="0.3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 x14ac:dyDescent="0.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 x14ac:dyDescent="0.3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 x14ac:dyDescent="0.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 x14ac:dyDescent="0.3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3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ht="13" x14ac:dyDescent="0.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ht="13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ht="13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ht="13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ht="13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5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ht="13" x14ac:dyDescent="0.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49999999999999" hidden="1" customHeight="1" x14ac:dyDescent="0.3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ht="13" x14ac:dyDescent="0.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 x14ac:dyDescent="0.3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 x14ac:dyDescent="0.3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 x14ac:dyDescent="0.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2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 x14ac:dyDescent="0.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 x14ac:dyDescent="0.3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3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hidden="1" customHeight="1" x14ac:dyDescent="0.3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x14ac:dyDescent="0.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" x14ac:dyDescent="0.3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" x14ac:dyDescent="0.3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ht="13" x14ac:dyDescent="0.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0" x14ac:dyDescent="0.3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13" x14ac:dyDescent="0.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0" x14ac:dyDescent="0.3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 x14ac:dyDescent="0.3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 x14ac:dyDescent="0.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 x14ac:dyDescent="0.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3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 x14ac:dyDescent="0.3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hidden="1" customHeight="1" x14ac:dyDescent="0.3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5" customHeight="1" x14ac:dyDescent="0.3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 x14ac:dyDescent="0.3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3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3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3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3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3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3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3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3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5" customHeight="1" x14ac:dyDescent="0.3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3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3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3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" x14ac:dyDescent="0.3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ht="13" x14ac:dyDescent="0.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 x14ac:dyDescent="0.3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 x14ac:dyDescent="0.3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5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3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 x14ac:dyDescent="0.3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 x14ac:dyDescent="0.3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3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" hidden="1" x14ac:dyDescent="0.3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650000000000006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3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3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3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5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3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3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ht="13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" x14ac:dyDescent="0.3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t="13" hidden="1" x14ac:dyDescent="0.3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5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3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3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3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3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 x14ac:dyDescent="0.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 x14ac:dyDescent="0.3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ht="13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ht="13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ht="13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6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ht="13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t="13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t="13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ht="13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ht="13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ht="13" x14ac:dyDescent="0.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ht="13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 x14ac:dyDescent="0.3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 x14ac:dyDescent="0.3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 x14ac:dyDescent="0.3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 x14ac:dyDescent="0.3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 x14ac:dyDescent="0.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 x14ac:dyDescent="0.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 x14ac:dyDescent="0.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 x14ac:dyDescent="0.3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 x14ac:dyDescent="0.3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 x14ac:dyDescent="0.3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 x14ac:dyDescent="0.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ht="13" x14ac:dyDescent="0.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ht="13" x14ac:dyDescent="0.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t="13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t="13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t="13" hidden="1" x14ac:dyDescent="0.3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" hidden="1" x14ac:dyDescent="0.3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t="13" hidden="1" x14ac:dyDescent="0.3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 x14ac:dyDescent="0.3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 x14ac:dyDescent="0.3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 x14ac:dyDescent="0.3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 x14ac:dyDescent="0.3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 x14ac:dyDescent="0.3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 x14ac:dyDescent="0.3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 x14ac:dyDescent="0.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ht="13" x14ac:dyDescent="0.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ht="13" x14ac:dyDescent="0.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ht="13" x14ac:dyDescent="0.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 x14ac:dyDescent="0.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 x14ac:dyDescent="0.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 x14ac:dyDescent="0.3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 x14ac:dyDescent="0.3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 x14ac:dyDescent="0.3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 x14ac:dyDescent="0.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 x14ac:dyDescent="0.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 x14ac:dyDescent="0.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 x14ac:dyDescent="0.3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 x14ac:dyDescent="0.3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hidden="1" customHeight="1" x14ac:dyDescent="0.3">
      <c r="A513" s="85"/>
      <c r="B513" s="42"/>
      <c r="C513" s="31"/>
      <c r="D513" s="31"/>
      <c r="E513" s="31"/>
      <c r="F513" s="31"/>
      <c r="G513" s="3477"/>
      <c r="H513" s="3478"/>
      <c r="I513" s="3478"/>
      <c r="J513" s="3479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5" hidden="1" customHeight="1" x14ac:dyDescent="0.25">
      <c r="A514" s="32"/>
      <c r="B514" s="42"/>
      <c r="C514" s="31"/>
      <c r="D514" s="31"/>
      <c r="E514" s="31"/>
      <c r="F514" s="31"/>
      <c r="G514" s="3477"/>
      <c r="H514" s="3478"/>
      <c r="I514" s="3478"/>
      <c r="J514" s="3479"/>
      <c r="K514" s="41"/>
      <c r="L514" s="2"/>
      <c r="M514" s="2"/>
      <c r="N514" s="2090"/>
      <c r="O514" s="2082"/>
      <c r="P514" s="2082"/>
      <c r="Q514" s="2091"/>
      <c r="R514" s="2092"/>
    </row>
    <row r="515" spans="1:24" ht="13" x14ac:dyDescent="0.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3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3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3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" x14ac:dyDescent="0.3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" x14ac:dyDescent="0.3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ht="13" x14ac:dyDescent="0.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3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ht="13" x14ac:dyDescent="0.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ht="13" x14ac:dyDescent="0.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t="13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9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5.5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t="13" hidden="1" x14ac:dyDescent="0.3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6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t="13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 x14ac:dyDescent="0.3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 x14ac:dyDescent="0.3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hidden="1" customHeight="1" x14ac:dyDescent="0.3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477" t="s">
        <v>20</v>
      </c>
      <c r="H548" s="3478"/>
      <c r="I548" s="3478"/>
      <c r="J548" s="3479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477" t="s">
        <v>17</v>
      </c>
      <c r="H549" s="3478"/>
      <c r="I549" s="3478"/>
      <c r="J549" s="3479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3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5" hidden="1" customHeight="1" x14ac:dyDescent="0.3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3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3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" hidden="1" x14ac:dyDescent="0.3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3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3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3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3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3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3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3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 x14ac:dyDescent="0.3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3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3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 x14ac:dyDescent="0.3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3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3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3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3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3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 x14ac:dyDescent="0.3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 x14ac:dyDescent="0.3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3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2" hidden="1" customHeight="1" x14ac:dyDescent="0.3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3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3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 x14ac:dyDescent="0.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3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3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" hidden="1" x14ac:dyDescent="0.3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 x14ac:dyDescent="0.3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t="13" hidden="1" x14ac:dyDescent="0.3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" hidden="1" x14ac:dyDescent="0.3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045" customWidth="1"/>
    <col min="15" max="16" width="22.1796875" style="1045" hidden="1" customWidth="1"/>
    <col min="17" max="18" width="22.1796875" style="1045" customWidth="1"/>
    <col min="19" max="21" width="10.26953125" style="2" hidden="1" customWidth="1"/>
    <col min="22" max="24" width="9.1796875" style="2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3023"/>
      <c r="J2" s="3023"/>
      <c r="K2" s="3023"/>
      <c r="L2" s="3023"/>
      <c r="M2" s="3023"/>
      <c r="N2" s="3023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3023"/>
      <c r="G3" s="3023"/>
      <c r="H3" s="3023"/>
      <c r="I3" s="3023"/>
      <c r="J3" s="3023"/>
      <c r="K3" s="3023"/>
      <c r="L3" s="3023"/>
      <c r="M3" s="3023"/>
      <c r="N3" s="3023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258" t="s">
        <v>447</v>
      </c>
      <c r="E5" s="258"/>
      <c r="F5" s="258"/>
      <c r="G5" s="3027"/>
      <c r="H5" s="3027"/>
      <c r="I5" s="3027"/>
      <c r="J5" s="3027"/>
      <c r="K5" s="3027"/>
      <c r="L5" s="3027"/>
      <c r="M5" s="3027"/>
      <c r="N5" s="3027"/>
      <c r="O5" s="449"/>
      <c r="P5" s="449"/>
      <c r="Q5" s="3027" t="s">
        <v>991</v>
      </c>
      <c r="R5" s="3027"/>
      <c r="S5" s="3027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5" x14ac:dyDescent="0.3"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5" customHeight="1" x14ac:dyDescent="0.3">
      <c r="A13" s="3481" t="s">
        <v>441</v>
      </c>
      <c r="B13" s="3481"/>
      <c r="C13" s="3481"/>
      <c r="D13" s="3481"/>
      <c r="E13" s="3481"/>
      <c r="F13" s="3481"/>
      <c r="G13" s="3481"/>
      <c r="H13" s="3481"/>
      <c r="I13" s="3481"/>
      <c r="J13" s="3481"/>
      <c r="K13" s="3481"/>
      <c r="L13" s="3481"/>
      <c r="M13" s="3481"/>
      <c r="N13" s="3481"/>
      <c r="O13" s="3481"/>
      <c r="P13" s="3481"/>
      <c r="Q13" s="3481"/>
      <c r="R13" s="3481"/>
    </row>
    <row r="14" spans="1:256" ht="17.5" customHeight="1" x14ac:dyDescent="0.3">
      <c r="A14" s="3481" t="s">
        <v>440</v>
      </c>
      <c r="B14" s="3481"/>
      <c r="C14" s="3481"/>
      <c r="D14" s="3481"/>
      <c r="E14" s="3481"/>
      <c r="F14" s="3481"/>
      <c r="G14" s="3481"/>
      <c r="H14" s="3481"/>
      <c r="I14" s="3481"/>
      <c r="J14" s="3481"/>
      <c r="K14" s="3481"/>
      <c r="L14" s="3481"/>
      <c r="M14" s="3481"/>
      <c r="N14" s="3481"/>
      <c r="O14" s="3481"/>
      <c r="P14" s="3481"/>
      <c r="Q14" s="3481"/>
      <c r="R14" s="3481"/>
    </row>
    <row r="15" spans="1:256" ht="15" customHeight="1" x14ac:dyDescent="0.3">
      <c r="A15" s="3481" t="s">
        <v>439</v>
      </c>
      <c r="B15" s="3481"/>
      <c r="C15" s="3481"/>
      <c r="D15" s="3481"/>
      <c r="E15" s="3481"/>
      <c r="F15" s="3481"/>
      <c r="G15" s="3481"/>
      <c r="H15" s="3481"/>
      <c r="I15" s="3481"/>
      <c r="J15" s="3481"/>
      <c r="K15" s="3481"/>
      <c r="L15" s="3481"/>
      <c r="M15" s="3481"/>
      <c r="N15" s="3481"/>
      <c r="O15" s="3481"/>
      <c r="P15" s="3481"/>
      <c r="Q15" s="3481"/>
      <c r="R15" s="3481"/>
    </row>
    <row r="16" spans="1:256" ht="13.5" customHeight="1" x14ac:dyDescent="0.3">
      <c r="A16" s="3481" t="s">
        <v>438</v>
      </c>
      <c r="B16" s="3481"/>
      <c r="C16" s="3481"/>
      <c r="D16" s="3481"/>
      <c r="E16" s="3481"/>
      <c r="F16" s="3481"/>
      <c r="G16" s="3481"/>
      <c r="H16" s="3481"/>
      <c r="I16" s="3481"/>
      <c r="J16" s="3481"/>
      <c r="K16" s="3481"/>
      <c r="L16" s="3481"/>
      <c r="M16" s="3481"/>
      <c r="N16" s="3481"/>
      <c r="O16" s="3481"/>
      <c r="P16" s="3481"/>
      <c r="Q16" s="3481"/>
      <c r="R16" s="3481"/>
    </row>
    <row r="17" spans="1:24" ht="16.149999999999999" customHeight="1" x14ac:dyDescent="0.3">
      <c r="A17" s="3481" t="s">
        <v>994</v>
      </c>
      <c r="B17" s="3481"/>
      <c r="C17" s="3481"/>
      <c r="D17" s="3481"/>
      <c r="E17" s="3481"/>
      <c r="F17" s="3481"/>
      <c r="G17" s="3481"/>
      <c r="H17" s="3481"/>
      <c r="I17" s="3481"/>
      <c r="J17" s="3481"/>
      <c r="K17" s="3481"/>
      <c r="L17" s="3481"/>
      <c r="M17" s="3481"/>
      <c r="N17" s="3481"/>
      <c r="O17" s="3481"/>
      <c r="P17" s="3481"/>
      <c r="Q17" s="3481"/>
      <c r="R17" s="348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39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3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 x14ac:dyDescent="0.3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49999999999999" customHeight="1" x14ac:dyDescent="0.3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3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13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ht="13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5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5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6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6" hidden="1" x14ac:dyDescent="0.3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6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6" x14ac:dyDescent="0.3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ht="13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ht="13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6" x14ac:dyDescent="0.3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5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2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ht="13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5" customHeight="1" x14ac:dyDescent="0.3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3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52" x14ac:dyDescent="0.3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 x14ac:dyDescent="0.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 x14ac:dyDescent="0.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 x14ac:dyDescent="0.3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3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 x14ac:dyDescent="0.3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 x14ac:dyDescent="0.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" hidden="1" x14ac:dyDescent="0.3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" hidden="1" x14ac:dyDescent="0.3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6" hidden="1" x14ac:dyDescent="0.3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t="13" hidden="1" x14ac:dyDescent="0.3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39" x14ac:dyDescent="0.3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" x14ac:dyDescent="0.3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ht="13" x14ac:dyDescent="0.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" x14ac:dyDescent="0.3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" x14ac:dyDescent="0.3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3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ht="13" x14ac:dyDescent="0.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ht="13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ht="13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5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ht="13" x14ac:dyDescent="0.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49999999999999" hidden="1" customHeight="1" x14ac:dyDescent="0.3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ht="13" x14ac:dyDescent="0.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 x14ac:dyDescent="0.3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 x14ac:dyDescent="0.3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x14ac:dyDescent="0.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 x14ac:dyDescent="0.3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 x14ac:dyDescent="0.3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 x14ac:dyDescent="0.3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 x14ac:dyDescent="0.3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hidden="1" customHeight="1" x14ac:dyDescent="0.3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t="13" hidden="1" x14ac:dyDescent="0.3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9" x14ac:dyDescent="0.3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" x14ac:dyDescent="0.3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 x14ac:dyDescent="0.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 x14ac:dyDescent="0.3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 x14ac:dyDescent="0.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 x14ac:dyDescent="0.3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 x14ac:dyDescent="0.3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 x14ac:dyDescent="0.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 x14ac:dyDescent="0.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3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 x14ac:dyDescent="0.3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hidden="1" customHeight="1" x14ac:dyDescent="0.3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5" customHeight="1" x14ac:dyDescent="0.3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 x14ac:dyDescent="0.3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3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3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3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3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3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3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3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5" customHeight="1" x14ac:dyDescent="0.3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3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3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3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" x14ac:dyDescent="0.3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ht="13" x14ac:dyDescent="0.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 x14ac:dyDescent="0.3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x14ac:dyDescent="0.3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 x14ac:dyDescent="0.3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5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3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 x14ac:dyDescent="0.3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3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" hidden="1" x14ac:dyDescent="0.3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650000000000006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3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3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3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5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3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3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ht="13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" x14ac:dyDescent="0.3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t="13" hidden="1" x14ac:dyDescent="0.3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5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3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3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3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3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x14ac:dyDescent="0.3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ht="13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ht="13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ht="13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6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ht="13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t="13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t="13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ht="13" x14ac:dyDescent="0.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ht="13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 x14ac:dyDescent="0.3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 x14ac:dyDescent="0.3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 x14ac:dyDescent="0.3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 x14ac:dyDescent="0.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 x14ac:dyDescent="0.3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 x14ac:dyDescent="0.3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 x14ac:dyDescent="0.3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 x14ac:dyDescent="0.3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ht="13" x14ac:dyDescent="0.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ht="13" x14ac:dyDescent="0.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t="13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t="13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t="13" hidden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" hidden="1" x14ac:dyDescent="0.3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t="13" hidden="1" x14ac:dyDescent="0.3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 x14ac:dyDescent="0.3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 x14ac:dyDescent="0.3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 x14ac:dyDescent="0.3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 x14ac:dyDescent="0.3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 x14ac:dyDescent="0.3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 x14ac:dyDescent="0.3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 x14ac:dyDescent="0.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ht="13" x14ac:dyDescent="0.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ht="13" x14ac:dyDescent="0.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ht="13" x14ac:dyDescent="0.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 x14ac:dyDescent="0.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 x14ac:dyDescent="0.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 x14ac:dyDescent="0.3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 x14ac:dyDescent="0.3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 x14ac:dyDescent="0.3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13" x14ac:dyDescent="0.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 x14ac:dyDescent="0.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 x14ac:dyDescent="0.3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 x14ac:dyDescent="0.3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5" hidden="1" customHeight="1" x14ac:dyDescent="0.3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477" t="s">
        <v>20</v>
      </c>
      <c r="H481" s="3478"/>
      <c r="I481" s="3478"/>
      <c r="J481" s="3479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5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477" t="s">
        <v>17</v>
      </c>
      <c r="H482" s="3478"/>
      <c r="I482" s="3478"/>
      <c r="J482" s="3479"/>
      <c r="K482" s="41"/>
      <c r="L482" s="2"/>
      <c r="M482" s="2"/>
      <c r="N482" s="1610"/>
      <c r="O482" s="2"/>
      <c r="P482" s="2"/>
      <c r="Q482" s="2"/>
      <c r="R482" s="1610"/>
    </row>
    <row r="483" spans="1:29" ht="26" hidden="1" x14ac:dyDescent="0.3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t="13" hidden="1" x14ac:dyDescent="0.3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3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ht="13" x14ac:dyDescent="0.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ht="13" x14ac:dyDescent="0.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t="13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9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5.5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t="13" hidden="1" x14ac:dyDescent="0.3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 x14ac:dyDescent="0.3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 x14ac:dyDescent="0.3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hidden="1" customHeight="1" x14ac:dyDescent="0.3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477" t="s">
        <v>20</v>
      </c>
      <c r="H510" s="3478"/>
      <c r="I510" s="3478"/>
      <c r="J510" s="3479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477" t="s">
        <v>17</v>
      </c>
      <c r="H511" s="3478"/>
      <c r="I511" s="3478"/>
      <c r="J511" s="3479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3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5" hidden="1" customHeight="1" x14ac:dyDescent="0.3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3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3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" hidden="1" x14ac:dyDescent="0.3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3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3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3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3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3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3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3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 x14ac:dyDescent="0.3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3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3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3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3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3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3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3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3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3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3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3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 x14ac:dyDescent="0.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3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3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" hidden="1" x14ac:dyDescent="0.3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 x14ac:dyDescent="0.3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t="13" hidden="1" x14ac:dyDescent="0.3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" hidden="1" x14ac:dyDescent="0.3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448" hidden="1" customWidth="1"/>
    <col min="11" max="11" width="14.7265625" style="448" hidden="1" customWidth="1"/>
    <col min="12" max="12" width="15.81640625" style="448" hidden="1" customWidth="1"/>
    <col min="13" max="13" width="18.7265625" style="448" hidden="1" customWidth="1"/>
    <col min="14" max="14" width="22.1796875" style="448" customWidth="1"/>
    <col min="15" max="16" width="22.1796875" style="448" hidden="1" customWidth="1"/>
    <col min="17" max="17" width="10.81640625" style="2" customWidth="1"/>
    <col min="18" max="24" width="9.1796875" style="2" customWidth="1"/>
    <col min="25" max="256" width="9.1796875" style="1"/>
    <col min="257" max="257" width="8.81640625" style="1" customWidth="1"/>
    <col min="258" max="258" width="60.26953125" style="1" customWidth="1"/>
    <col min="259" max="261" width="0" style="1" hidden="1" customWidth="1"/>
    <col min="262" max="262" width="13.26953125" style="1" customWidth="1"/>
    <col min="263" max="264" width="10.26953125" style="1" customWidth="1"/>
    <col min="265" max="265" width="10.453125" style="1" customWidth="1"/>
    <col min="266" max="269" width="0" style="1" hidden="1" customWidth="1"/>
    <col min="270" max="270" width="22.1796875" style="1" customWidth="1"/>
    <col min="271" max="272" width="0" style="1" hidden="1" customWidth="1"/>
    <col min="273" max="280" width="9.1796875" style="1" customWidth="1"/>
    <col min="281" max="512" width="9.1796875" style="1"/>
    <col min="513" max="513" width="8.81640625" style="1" customWidth="1"/>
    <col min="514" max="514" width="60.26953125" style="1" customWidth="1"/>
    <col min="515" max="517" width="0" style="1" hidden="1" customWidth="1"/>
    <col min="518" max="518" width="13.26953125" style="1" customWidth="1"/>
    <col min="519" max="520" width="10.26953125" style="1" customWidth="1"/>
    <col min="521" max="521" width="10.453125" style="1" customWidth="1"/>
    <col min="522" max="525" width="0" style="1" hidden="1" customWidth="1"/>
    <col min="526" max="526" width="22.1796875" style="1" customWidth="1"/>
    <col min="527" max="528" width="0" style="1" hidden="1" customWidth="1"/>
    <col min="529" max="536" width="9.1796875" style="1" customWidth="1"/>
    <col min="537" max="768" width="9.1796875" style="1"/>
    <col min="769" max="769" width="8.81640625" style="1" customWidth="1"/>
    <col min="770" max="770" width="60.26953125" style="1" customWidth="1"/>
    <col min="771" max="773" width="0" style="1" hidden="1" customWidth="1"/>
    <col min="774" max="774" width="13.26953125" style="1" customWidth="1"/>
    <col min="775" max="776" width="10.26953125" style="1" customWidth="1"/>
    <col min="777" max="777" width="10.453125" style="1" customWidth="1"/>
    <col min="778" max="781" width="0" style="1" hidden="1" customWidth="1"/>
    <col min="782" max="782" width="22.1796875" style="1" customWidth="1"/>
    <col min="783" max="784" width="0" style="1" hidden="1" customWidth="1"/>
    <col min="785" max="792" width="9.1796875" style="1" customWidth="1"/>
    <col min="793" max="1024" width="9.1796875" style="1"/>
    <col min="1025" max="1025" width="8.81640625" style="1" customWidth="1"/>
    <col min="1026" max="1026" width="60.26953125" style="1" customWidth="1"/>
    <col min="1027" max="1029" width="0" style="1" hidden="1" customWidth="1"/>
    <col min="1030" max="1030" width="13.26953125" style="1" customWidth="1"/>
    <col min="1031" max="1032" width="10.26953125" style="1" customWidth="1"/>
    <col min="1033" max="1033" width="10.453125" style="1" customWidth="1"/>
    <col min="1034" max="1037" width="0" style="1" hidden="1" customWidth="1"/>
    <col min="1038" max="1038" width="22.1796875" style="1" customWidth="1"/>
    <col min="1039" max="1040" width="0" style="1" hidden="1" customWidth="1"/>
    <col min="1041" max="1048" width="9.1796875" style="1" customWidth="1"/>
    <col min="1049" max="1280" width="9.1796875" style="1"/>
    <col min="1281" max="1281" width="8.81640625" style="1" customWidth="1"/>
    <col min="1282" max="1282" width="60.26953125" style="1" customWidth="1"/>
    <col min="1283" max="1285" width="0" style="1" hidden="1" customWidth="1"/>
    <col min="1286" max="1286" width="13.26953125" style="1" customWidth="1"/>
    <col min="1287" max="1288" width="10.26953125" style="1" customWidth="1"/>
    <col min="1289" max="1289" width="10.453125" style="1" customWidth="1"/>
    <col min="1290" max="1293" width="0" style="1" hidden="1" customWidth="1"/>
    <col min="1294" max="1294" width="22.1796875" style="1" customWidth="1"/>
    <col min="1295" max="1296" width="0" style="1" hidden="1" customWidth="1"/>
    <col min="1297" max="1304" width="9.1796875" style="1" customWidth="1"/>
    <col min="1305" max="1536" width="9.1796875" style="1"/>
    <col min="1537" max="1537" width="8.81640625" style="1" customWidth="1"/>
    <col min="1538" max="1538" width="60.26953125" style="1" customWidth="1"/>
    <col min="1539" max="1541" width="0" style="1" hidden="1" customWidth="1"/>
    <col min="1542" max="1542" width="13.26953125" style="1" customWidth="1"/>
    <col min="1543" max="1544" width="10.26953125" style="1" customWidth="1"/>
    <col min="1545" max="1545" width="10.453125" style="1" customWidth="1"/>
    <col min="1546" max="1549" width="0" style="1" hidden="1" customWidth="1"/>
    <col min="1550" max="1550" width="22.1796875" style="1" customWidth="1"/>
    <col min="1551" max="1552" width="0" style="1" hidden="1" customWidth="1"/>
    <col min="1553" max="1560" width="9.1796875" style="1" customWidth="1"/>
    <col min="1561" max="1792" width="9.1796875" style="1"/>
    <col min="1793" max="1793" width="8.81640625" style="1" customWidth="1"/>
    <col min="1794" max="1794" width="60.26953125" style="1" customWidth="1"/>
    <col min="1795" max="1797" width="0" style="1" hidden="1" customWidth="1"/>
    <col min="1798" max="1798" width="13.26953125" style="1" customWidth="1"/>
    <col min="1799" max="1800" width="10.26953125" style="1" customWidth="1"/>
    <col min="1801" max="1801" width="10.453125" style="1" customWidth="1"/>
    <col min="1802" max="1805" width="0" style="1" hidden="1" customWidth="1"/>
    <col min="1806" max="1806" width="22.1796875" style="1" customWidth="1"/>
    <col min="1807" max="1808" width="0" style="1" hidden="1" customWidth="1"/>
    <col min="1809" max="1816" width="9.1796875" style="1" customWidth="1"/>
    <col min="1817" max="2048" width="9.1796875" style="1"/>
    <col min="2049" max="2049" width="8.81640625" style="1" customWidth="1"/>
    <col min="2050" max="2050" width="60.26953125" style="1" customWidth="1"/>
    <col min="2051" max="2053" width="0" style="1" hidden="1" customWidth="1"/>
    <col min="2054" max="2054" width="13.26953125" style="1" customWidth="1"/>
    <col min="2055" max="2056" width="10.26953125" style="1" customWidth="1"/>
    <col min="2057" max="2057" width="10.453125" style="1" customWidth="1"/>
    <col min="2058" max="2061" width="0" style="1" hidden="1" customWidth="1"/>
    <col min="2062" max="2062" width="22.1796875" style="1" customWidth="1"/>
    <col min="2063" max="2064" width="0" style="1" hidden="1" customWidth="1"/>
    <col min="2065" max="2072" width="9.1796875" style="1" customWidth="1"/>
    <col min="2073" max="2304" width="9.1796875" style="1"/>
    <col min="2305" max="2305" width="8.81640625" style="1" customWidth="1"/>
    <col min="2306" max="2306" width="60.26953125" style="1" customWidth="1"/>
    <col min="2307" max="2309" width="0" style="1" hidden="1" customWidth="1"/>
    <col min="2310" max="2310" width="13.26953125" style="1" customWidth="1"/>
    <col min="2311" max="2312" width="10.26953125" style="1" customWidth="1"/>
    <col min="2313" max="2313" width="10.453125" style="1" customWidth="1"/>
    <col min="2314" max="2317" width="0" style="1" hidden="1" customWidth="1"/>
    <col min="2318" max="2318" width="22.1796875" style="1" customWidth="1"/>
    <col min="2319" max="2320" width="0" style="1" hidden="1" customWidth="1"/>
    <col min="2321" max="2328" width="9.1796875" style="1" customWidth="1"/>
    <col min="2329" max="2560" width="9.1796875" style="1"/>
    <col min="2561" max="2561" width="8.81640625" style="1" customWidth="1"/>
    <col min="2562" max="2562" width="60.26953125" style="1" customWidth="1"/>
    <col min="2563" max="2565" width="0" style="1" hidden="1" customWidth="1"/>
    <col min="2566" max="2566" width="13.26953125" style="1" customWidth="1"/>
    <col min="2567" max="2568" width="10.26953125" style="1" customWidth="1"/>
    <col min="2569" max="2569" width="10.453125" style="1" customWidth="1"/>
    <col min="2570" max="2573" width="0" style="1" hidden="1" customWidth="1"/>
    <col min="2574" max="2574" width="22.1796875" style="1" customWidth="1"/>
    <col min="2575" max="2576" width="0" style="1" hidden="1" customWidth="1"/>
    <col min="2577" max="2584" width="9.1796875" style="1" customWidth="1"/>
    <col min="2585" max="2816" width="9.1796875" style="1"/>
    <col min="2817" max="2817" width="8.81640625" style="1" customWidth="1"/>
    <col min="2818" max="2818" width="60.26953125" style="1" customWidth="1"/>
    <col min="2819" max="2821" width="0" style="1" hidden="1" customWidth="1"/>
    <col min="2822" max="2822" width="13.26953125" style="1" customWidth="1"/>
    <col min="2823" max="2824" width="10.26953125" style="1" customWidth="1"/>
    <col min="2825" max="2825" width="10.453125" style="1" customWidth="1"/>
    <col min="2826" max="2829" width="0" style="1" hidden="1" customWidth="1"/>
    <col min="2830" max="2830" width="22.1796875" style="1" customWidth="1"/>
    <col min="2831" max="2832" width="0" style="1" hidden="1" customWidth="1"/>
    <col min="2833" max="2840" width="9.1796875" style="1" customWidth="1"/>
    <col min="2841" max="3072" width="9.1796875" style="1"/>
    <col min="3073" max="3073" width="8.81640625" style="1" customWidth="1"/>
    <col min="3074" max="3074" width="60.26953125" style="1" customWidth="1"/>
    <col min="3075" max="3077" width="0" style="1" hidden="1" customWidth="1"/>
    <col min="3078" max="3078" width="13.26953125" style="1" customWidth="1"/>
    <col min="3079" max="3080" width="10.26953125" style="1" customWidth="1"/>
    <col min="3081" max="3081" width="10.453125" style="1" customWidth="1"/>
    <col min="3082" max="3085" width="0" style="1" hidden="1" customWidth="1"/>
    <col min="3086" max="3086" width="22.1796875" style="1" customWidth="1"/>
    <col min="3087" max="3088" width="0" style="1" hidden="1" customWidth="1"/>
    <col min="3089" max="3096" width="9.1796875" style="1" customWidth="1"/>
    <col min="3097" max="3328" width="9.1796875" style="1"/>
    <col min="3329" max="3329" width="8.81640625" style="1" customWidth="1"/>
    <col min="3330" max="3330" width="60.26953125" style="1" customWidth="1"/>
    <col min="3331" max="3333" width="0" style="1" hidden="1" customWidth="1"/>
    <col min="3334" max="3334" width="13.26953125" style="1" customWidth="1"/>
    <col min="3335" max="3336" width="10.26953125" style="1" customWidth="1"/>
    <col min="3337" max="3337" width="10.453125" style="1" customWidth="1"/>
    <col min="3338" max="3341" width="0" style="1" hidden="1" customWidth="1"/>
    <col min="3342" max="3342" width="22.1796875" style="1" customWidth="1"/>
    <col min="3343" max="3344" width="0" style="1" hidden="1" customWidth="1"/>
    <col min="3345" max="3352" width="9.1796875" style="1" customWidth="1"/>
    <col min="3353" max="3584" width="9.1796875" style="1"/>
    <col min="3585" max="3585" width="8.81640625" style="1" customWidth="1"/>
    <col min="3586" max="3586" width="60.26953125" style="1" customWidth="1"/>
    <col min="3587" max="3589" width="0" style="1" hidden="1" customWidth="1"/>
    <col min="3590" max="3590" width="13.26953125" style="1" customWidth="1"/>
    <col min="3591" max="3592" width="10.26953125" style="1" customWidth="1"/>
    <col min="3593" max="3593" width="10.453125" style="1" customWidth="1"/>
    <col min="3594" max="3597" width="0" style="1" hidden="1" customWidth="1"/>
    <col min="3598" max="3598" width="22.1796875" style="1" customWidth="1"/>
    <col min="3599" max="3600" width="0" style="1" hidden="1" customWidth="1"/>
    <col min="3601" max="3608" width="9.1796875" style="1" customWidth="1"/>
    <col min="3609" max="3840" width="9.1796875" style="1"/>
    <col min="3841" max="3841" width="8.81640625" style="1" customWidth="1"/>
    <col min="3842" max="3842" width="60.26953125" style="1" customWidth="1"/>
    <col min="3843" max="3845" width="0" style="1" hidden="1" customWidth="1"/>
    <col min="3846" max="3846" width="13.26953125" style="1" customWidth="1"/>
    <col min="3847" max="3848" width="10.26953125" style="1" customWidth="1"/>
    <col min="3849" max="3849" width="10.453125" style="1" customWidth="1"/>
    <col min="3850" max="3853" width="0" style="1" hidden="1" customWidth="1"/>
    <col min="3854" max="3854" width="22.1796875" style="1" customWidth="1"/>
    <col min="3855" max="3856" width="0" style="1" hidden="1" customWidth="1"/>
    <col min="3857" max="3864" width="9.1796875" style="1" customWidth="1"/>
    <col min="3865" max="4096" width="9.1796875" style="1"/>
    <col min="4097" max="4097" width="8.81640625" style="1" customWidth="1"/>
    <col min="4098" max="4098" width="60.26953125" style="1" customWidth="1"/>
    <col min="4099" max="4101" width="0" style="1" hidden="1" customWidth="1"/>
    <col min="4102" max="4102" width="13.26953125" style="1" customWidth="1"/>
    <col min="4103" max="4104" width="10.26953125" style="1" customWidth="1"/>
    <col min="4105" max="4105" width="10.453125" style="1" customWidth="1"/>
    <col min="4106" max="4109" width="0" style="1" hidden="1" customWidth="1"/>
    <col min="4110" max="4110" width="22.1796875" style="1" customWidth="1"/>
    <col min="4111" max="4112" width="0" style="1" hidden="1" customWidth="1"/>
    <col min="4113" max="4120" width="9.1796875" style="1" customWidth="1"/>
    <col min="4121" max="4352" width="9.1796875" style="1"/>
    <col min="4353" max="4353" width="8.81640625" style="1" customWidth="1"/>
    <col min="4354" max="4354" width="60.26953125" style="1" customWidth="1"/>
    <col min="4355" max="4357" width="0" style="1" hidden="1" customWidth="1"/>
    <col min="4358" max="4358" width="13.26953125" style="1" customWidth="1"/>
    <col min="4359" max="4360" width="10.26953125" style="1" customWidth="1"/>
    <col min="4361" max="4361" width="10.453125" style="1" customWidth="1"/>
    <col min="4362" max="4365" width="0" style="1" hidden="1" customWidth="1"/>
    <col min="4366" max="4366" width="22.1796875" style="1" customWidth="1"/>
    <col min="4367" max="4368" width="0" style="1" hidden="1" customWidth="1"/>
    <col min="4369" max="4376" width="9.1796875" style="1" customWidth="1"/>
    <col min="4377" max="4608" width="9.1796875" style="1"/>
    <col min="4609" max="4609" width="8.81640625" style="1" customWidth="1"/>
    <col min="4610" max="4610" width="60.26953125" style="1" customWidth="1"/>
    <col min="4611" max="4613" width="0" style="1" hidden="1" customWidth="1"/>
    <col min="4614" max="4614" width="13.26953125" style="1" customWidth="1"/>
    <col min="4615" max="4616" width="10.26953125" style="1" customWidth="1"/>
    <col min="4617" max="4617" width="10.453125" style="1" customWidth="1"/>
    <col min="4618" max="4621" width="0" style="1" hidden="1" customWidth="1"/>
    <col min="4622" max="4622" width="22.1796875" style="1" customWidth="1"/>
    <col min="4623" max="4624" width="0" style="1" hidden="1" customWidth="1"/>
    <col min="4625" max="4632" width="9.1796875" style="1" customWidth="1"/>
    <col min="4633" max="4864" width="9.1796875" style="1"/>
    <col min="4865" max="4865" width="8.81640625" style="1" customWidth="1"/>
    <col min="4866" max="4866" width="60.26953125" style="1" customWidth="1"/>
    <col min="4867" max="4869" width="0" style="1" hidden="1" customWidth="1"/>
    <col min="4870" max="4870" width="13.26953125" style="1" customWidth="1"/>
    <col min="4871" max="4872" width="10.26953125" style="1" customWidth="1"/>
    <col min="4873" max="4873" width="10.453125" style="1" customWidth="1"/>
    <col min="4874" max="4877" width="0" style="1" hidden="1" customWidth="1"/>
    <col min="4878" max="4878" width="22.1796875" style="1" customWidth="1"/>
    <col min="4879" max="4880" width="0" style="1" hidden="1" customWidth="1"/>
    <col min="4881" max="4888" width="9.1796875" style="1" customWidth="1"/>
    <col min="4889" max="5120" width="9.1796875" style="1"/>
    <col min="5121" max="5121" width="8.81640625" style="1" customWidth="1"/>
    <col min="5122" max="5122" width="60.26953125" style="1" customWidth="1"/>
    <col min="5123" max="5125" width="0" style="1" hidden="1" customWidth="1"/>
    <col min="5126" max="5126" width="13.26953125" style="1" customWidth="1"/>
    <col min="5127" max="5128" width="10.26953125" style="1" customWidth="1"/>
    <col min="5129" max="5129" width="10.453125" style="1" customWidth="1"/>
    <col min="5130" max="5133" width="0" style="1" hidden="1" customWidth="1"/>
    <col min="5134" max="5134" width="22.1796875" style="1" customWidth="1"/>
    <col min="5135" max="5136" width="0" style="1" hidden="1" customWidth="1"/>
    <col min="5137" max="5144" width="9.1796875" style="1" customWidth="1"/>
    <col min="5145" max="5376" width="9.1796875" style="1"/>
    <col min="5377" max="5377" width="8.81640625" style="1" customWidth="1"/>
    <col min="5378" max="5378" width="60.26953125" style="1" customWidth="1"/>
    <col min="5379" max="5381" width="0" style="1" hidden="1" customWidth="1"/>
    <col min="5382" max="5382" width="13.26953125" style="1" customWidth="1"/>
    <col min="5383" max="5384" width="10.26953125" style="1" customWidth="1"/>
    <col min="5385" max="5385" width="10.453125" style="1" customWidth="1"/>
    <col min="5386" max="5389" width="0" style="1" hidden="1" customWidth="1"/>
    <col min="5390" max="5390" width="22.1796875" style="1" customWidth="1"/>
    <col min="5391" max="5392" width="0" style="1" hidden="1" customWidth="1"/>
    <col min="5393" max="5400" width="9.1796875" style="1" customWidth="1"/>
    <col min="5401" max="5632" width="9.1796875" style="1"/>
    <col min="5633" max="5633" width="8.81640625" style="1" customWidth="1"/>
    <col min="5634" max="5634" width="60.26953125" style="1" customWidth="1"/>
    <col min="5635" max="5637" width="0" style="1" hidden="1" customWidth="1"/>
    <col min="5638" max="5638" width="13.26953125" style="1" customWidth="1"/>
    <col min="5639" max="5640" width="10.26953125" style="1" customWidth="1"/>
    <col min="5641" max="5641" width="10.453125" style="1" customWidth="1"/>
    <col min="5642" max="5645" width="0" style="1" hidden="1" customWidth="1"/>
    <col min="5646" max="5646" width="22.1796875" style="1" customWidth="1"/>
    <col min="5647" max="5648" width="0" style="1" hidden="1" customWidth="1"/>
    <col min="5649" max="5656" width="9.1796875" style="1" customWidth="1"/>
    <col min="5657" max="5888" width="9.1796875" style="1"/>
    <col min="5889" max="5889" width="8.81640625" style="1" customWidth="1"/>
    <col min="5890" max="5890" width="60.26953125" style="1" customWidth="1"/>
    <col min="5891" max="5893" width="0" style="1" hidden="1" customWidth="1"/>
    <col min="5894" max="5894" width="13.26953125" style="1" customWidth="1"/>
    <col min="5895" max="5896" width="10.26953125" style="1" customWidth="1"/>
    <col min="5897" max="5897" width="10.453125" style="1" customWidth="1"/>
    <col min="5898" max="5901" width="0" style="1" hidden="1" customWidth="1"/>
    <col min="5902" max="5902" width="22.1796875" style="1" customWidth="1"/>
    <col min="5903" max="5904" width="0" style="1" hidden="1" customWidth="1"/>
    <col min="5905" max="5912" width="9.1796875" style="1" customWidth="1"/>
    <col min="5913" max="6144" width="9.1796875" style="1"/>
    <col min="6145" max="6145" width="8.81640625" style="1" customWidth="1"/>
    <col min="6146" max="6146" width="60.26953125" style="1" customWidth="1"/>
    <col min="6147" max="6149" width="0" style="1" hidden="1" customWidth="1"/>
    <col min="6150" max="6150" width="13.26953125" style="1" customWidth="1"/>
    <col min="6151" max="6152" width="10.26953125" style="1" customWidth="1"/>
    <col min="6153" max="6153" width="10.453125" style="1" customWidth="1"/>
    <col min="6154" max="6157" width="0" style="1" hidden="1" customWidth="1"/>
    <col min="6158" max="6158" width="22.1796875" style="1" customWidth="1"/>
    <col min="6159" max="6160" width="0" style="1" hidden="1" customWidth="1"/>
    <col min="6161" max="6168" width="9.1796875" style="1" customWidth="1"/>
    <col min="6169" max="6400" width="9.1796875" style="1"/>
    <col min="6401" max="6401" width="8.81640625" style="1" customWidth="1"/>
    <col min="6402" max="6402" width="60.26953125" style="1" customWidth="1"/>
    <col min="6403" max="6405" width="0" style="1" hidden="1" customWidth="1"/>
    <col min="6406" max="6406" width="13.26953125" style="1" customWidth="1"/>
    <col min="6407" max="6408" width="10.26953125" style="1" customWidth="1"/>
    <col min="6409" max="6409" width="10.453125" style="1" customWidth="1"/>
    <col min="6410" max="6413" width="0" style="1" hidden="1" customWidth="1"/>
    <col min="6414" max="6414" width="22.1796875" style="1" customWidth="1"/>
    <col min="6415" max="6416" width="0" style="1" hidden="1" customWidth="1"/>
    <col min="6417" max="6424" width="9.1796875" style="1" customWidth="1"/>
    <col min="6425" max="6656" width="9.1796875" style="1"/>
    <col min="6657" max="6657" width="8.81640625" style="1" customWidth="1"/>
    <col min="6658" max="6658" width="60.26953125" style="1" customWidth="1"/>
    <col min="6659" max="6661" width="0" style="1" hidden="1" customWidth="1"/>
    <col min="6662" max="6662" width="13.26953125" style="1" customWidth="1"/>
    <col min="6663" max="6664" width="10.26953125" style="1" customWidth="1"/>
    <col min="6665" max="6665" width="10.453125" style="1" customWidth="1"/>
    <col min="6666" max="6669" width="0" style="1" hidden="1" customWidth="1"/>
    <col min="6670" max="6670" width="22.1796875" style="1" customWidth="1"/>
    <col min="6671" max="6672" width="0" style="1" hidden="1" customWidth="1"/>
    <col min="6673" max="6680" width="9.1796875" style="1" customWidth="1"/>
    <col min="6681" max="6912" width="9.1796875" style="1"/>
    <col min="6913" max="6913" width="8.81640625" style="1" customWidth="1"/>
    <col min="6914" max="6914" width="60.26953125" style="1" customWidth="1"/>
    <col min="6915" max="6917" width="0" style="1" hidden="1" customWidth="1"/>
    <col min="6918" max="6918" width="13.26953125" style="1" customWidth="1"/>
    <col min="6919" max="6920" width="10.26953125" style="1" customWidth="1"/>
    <col min="6921" max="6921" width="10.453125" style="1" customWidth="1"/>
    <col min="6922" max="6925" width="0" style="1" hidden="1" customWidth="1"/>
    <col min="6926" max="6926" width="22.1796875" style="1" customWidth="1"/>
    <col min="6927" max="6928" width="0" style="1" hidden="1" customWidth="1"/>
    <col min="6929" max="6936" width="9.1796875" style="1" customWidth="1"/>
    <col min="6937" max="7168" width="9.1796875" style="1"/>
    <col min="7169" max="7169" width="8.81640625" style="1" customWidth="1"/>
    <col min="7170" max="7170" width="60.26953125" style="1" customWidth="1"/>
    <col min="7171" max="7173" width="0" style="1" hidden="1" customWidth="1"/>
    <col min="7174" max="7174" width="13.26953125" style="1" customWidth="1"/>
    <col min="7175" max="7176" width="10.26953125" style="1" customWidth="1"/>
    <col min="7177" max="7177" width="10.453125" style="1" customWidth="1"/>
    <col min="7178" max="7181" width="0" style="1" hidden="1" customWidth="1"/>
    <col min="7182" max="7182" width="22.1796875" style="1" customWidth="1"/>
    <col min="7183" max="7184" width="0" style="1" hidden="1" customWidth="1"/>
    <col min="7185" max="7192" width="9.1796875" style="1" customWidth="1"/>
    <col min="7193" max="7424" width="9.1796875" style="1"/>
    <col min="7425" max="7425" width="8.81640625" style="1" customWidth="1"/>
    <col min="7426" max="7426" width="60.26953125" style="1" customWidth="1"/>
    <col min="7427" max="7429" width="0" style="1" hidden="1" customWidth="1"/>
    <col min="7430" max="7430" width="13.26953125" style="1" customWidth="1"/>
    <col min="7431" max="7432" width="10.26953125" style="1" customWidth="1"/>
    <col min="7433" max="7433" width="10.453125" style="1" customWidth="1"/>
    <col min="7434" max="7437" width="0" style="1" hidden="1" customWidth="1"/>
    <col min="7438" max="7438" width="22.1796875" style="1" customWidth="1"/>
    <col min="7439" max="7440" width="0" style="1" hidden="1" customWidth="1"/>
    <col min="7441" max="7448" width="9.1796875" style="1" customWidth="1"/>
    <col min="7449" max="7680" width="9.1796875" style="1"/>
    <col min="7681" max="7681" width="8.81640625" style="1" customWidth="1"/>
    <col min="7682" max="7682" width="60.26953125" style="1" customWidth="1"/>
    <col min="7683" max="7685" width="0" style="1" hidden="1" customWidth="1"/>
    <col min="7686" max="7686" width="13.26953125" style="1" customWidth="1"/>
    <col min="7687" max="7688" width="10.26953125" style="1" customWidth="1"/>
    <col min="7689" max="7689" width="10.453125" style="1" customWidth="1"/>
    <col min="7690" max="7693" width="0" style="1" hidden="1" customWidth="1"/>
    <col min="7694" max="7694" width="22.1796875" style="1" customWidth="1"/>
    <col min="7695" max="7696" width="0" style="1" hidden="1" customWidth="1"/>
    <col min="7697" max="7704" width="9.1796875" style="1" customWidth="1"/>
    <col min="7705" max="7936" width="9.1796875" style="1"/>
    <col min="7937" max="7937" width="8.81640625" style="1" customWidth="1"/>
    <col min="7938" max="7938" width="60.26953125" style="1" customWidth="1"/>
    <col min="7939" max="7941" width="0" style="1" hidden="1" customWidth="1"/>
    <col min="7942" max="7942" width="13.26953125" style="1" customWidth="1"/>
    <col min="7943" max="7944" width="10.26953125" style="1" customWidth="1"/>
    <col min="7945" max="7945" width="10.453125" style="1" customWidth="1"/>
    <col min="7946" max="7949" width="0" style="1" hidden="1" customWidth="1"/>
    <col min="7950" max="7950" width="22.1796875" style="1" customWidth="1"/>
    <col min="7951" max="7952" width="0" style="1" hidden="1" customWidth="1"/>
    <col min="7953" max="7960" width="9.1796875" style="1" customWidth="1"/>
    <col min="7961" max="8192" width="9.1796875" style="1"/>
    <col min="8193" max="8193" width="8.81640625" style="1" customWidth="1"/>
    <col min="8194" max="8194" width="60.26953125" style="1" customWidth="1"/>
    <col min="8195" max="8197" width="0" style="1" hidden="1" customWidth="1"/>
    <col min="8198" max="8198" width="13.26953125" style="1" customWidth="1"/>
    <col min="8199" max="8200" width="10.26953125" style="1" customWidth="1"/>
    <col min="8201" max="8201" width="10.453125" style="1" customWidth="1"/>
    <col min="8202" max="8205" width="0" style="1" hidden="1" customWidth="1"/>
    <col min="8206" max="8206" width="22.1796875" style="1" customWidth="1"/>
    <col min="8207" max="8208" width="0" style="1" hidden="1" customWidth="1"/>
    <col min="8209" max="8216" width="9.1796875" style="1" customWidth="1"/>
    <col min="8217" max="8448" width="9.1796875" style="1"/>
    <col min="8449" max="8449" width="8.81640625" style="1" customWidth="1"/>
    <col min="8450" max="8450" width="60.26953125" style="1" customWidth="1"/>
    <col min="8451" max="8453" width="0" style="1" hidden="1" customWidth="1"/>
    <col min="8454" max="8454" width="13.26953125" style="1" customWidth="1"/>
    <col min="8455" max="8456" width="10.26953125" style="1" customWidth="1"/>
    <col min="8457" max="8457" width="10.453125" style="1" customWidth="1"/>
    <col min="8458" max="8461" width="0" style="1" hidden="1" customWidth="1"/>
    <col min="8462" max="8462" width="22.1796875" style="1" customWidth="1"/>
    <col min="8463" max="8464" width="0" style="1" hidden="1" customWidth="1"/>
    <col min="8465" max="8472" width="9.1796875" style="1" customWidth="1"/>
    <col min="8473" max="8704" width="9.1796875" style="1"/>
    <col min="8705" max="8705" width="8.81640625" style="1" customWidth="1"/>
    <col min="8706" max="8706" width="60.26953125" style="1" customWidth="1"/>
    <col min="8707" max="8709" width="0" style="1" hidden="1" customWidth="1"/>
    <col min="8710" max="8710" width="13.26953125" style="1" customWidth="1"/>
    <col min="8711" max="8712" width="10.26953125" style="1" customWidth="1"/>
    <col min="8713" max="8713" width="10.453125" style="1" customWidth="1"/>
    <col min="8714" max="8717" width="0" style="1" hidden="1" customWidth="1"/>
    <col min="8718" max="8718" width="22.1796875" style="1" customWidth="1"/>
    <col min="8719" max="8720" width="0" style="1" hidden="1" customWidth="1"/>
    <col min="8721" max="8728" width="9.1796875" style="1" customWidth="1"/>
    <col min="8729" max="8960" width="9.1796875" style="1"/>
    <col min="8961" max="8961" width="8.81640625" style="1" customWidth="1"/>
    <col min="8962" max="8962" width="60.26953125" style="1" customWidth="1"/>
    <col min="8963" max="8965" width="0" style="1" hidden="1" customWidth="1"/>
    <col min="8966" max="8966" width="13.26953125" style="1" customWidth="1"/>
    <col min="8967" max="8968" width="10.26953125" style="1" customWidth="1"/>
    <col min="8969" max="8969" width="10.453125" style="1" customWidth="1"/>
    <col min="8970" max="8973" width="0" style="1" hidden="1" customWidth="1"/>
    <col min="8974" max="8974" width="22.1796875" style="1" customWidth="1"/>
    <col min="8975" max="8976" width="0" style="1" hidden="1" customWidth="1"/>
    <col min="8977" max="8984" width="9.1796875" style="1" customWidth="1"/>
    <col min="8985" max="9216" width="9.1796875" style="1"/>
    <col min="9217" max="9217" width="8.81640625" style="1" customWidth="1"/>
    <col min="9218" max="9218" width="60.26953125" style="1" customWidth="1"/>
    <col min="9219" max="9221" width="0" style="1" hidden="1" customWidth="1"/>
    <col min="9222" max="9222" width="13.26953125" style="1" customWidth="1"/>
    <col min="9223" max="9224" width="10.26953125" style="1" customWidth="1"/>
    <col min="9225" max="9225" width="10.453125" style="1" customWidth="1"/>
    <col min="9226" max="9229" width="0" style="1" hidden="1" customWidth="1"/>
    <col min="9230" max="9230" width="22.1796875" style="1" customWidth="1"/>
    <col min="9231" max="9232" width="0" style="1" hidden="1" customWidth="1"/>
    <col min="9233" max="9240" width="9.1796875" style="1" customWidth="1"/>
    <col min="9241" max="9472" width="9.1796875" style="1"/>
    <col min="9473" max="9473" width="8.81640625" style="1" customWidth="1"/>
    <col min="9474" max="9474" width="60.26953125" style="1" customWidth="1"/>
    <col min="9475" max="9477" width="0" style="1" hidden="1" customWidth="1"/>
    <col min="9478" max="9478" width="13.26953125" style="1" customWidth="1"/>
    <col min="9479" max="9480" width="10.26953125" style="1" customWidth="1"/>
    <col min="9481" max="9481" width="10.453125" style="1" customWidth="1"/>
    <col min="9482" max="9485" width="0" style="1" hidden="1" customWidth="1"/>
    <col min="9486" max="9486" width="22.1796875" style="1" customWidth="1"/>
    <col min="9487" max="9488" width="0" style="1" hidden="1" customWidth="1"/>
    <col min="9489" max="9496" width="9.1796875" style="1" customWidth="1"/>
    <col min="9497" max="9728" width="9.1796875" style="1"/>
    <col min="9729" max="9729" width="8.81640625" style="1" customWidth="1"/>
    <col min="9730" max="9730" width="60.26953125" style="1" customWidth="1"/>
    <col min="9731" max="9733" width="0" style="1" hidden="1" customWidth="1"/>
    <col min="9734" max="9734" width="13.26953125" style="1" customWidth="1"/>
    <col min="9735" max="9736" width="10.26953125" style="1" customWidth="1"/>
    <col min="9737" max="9737" width="10.453125" style="1" customWidth="1"/>
    <col min="9738" max="9741" width="0" style="1" hidden="1" customWidth="1"/>
    <col min="9742" max="9742" width="22.1796875" style="1" customWidth="1"/>
    <col min="9743" max="9744" width="0" style="1" hidden="1" customWidth="1"/>
    <col min="9745" max="9752" width="9.1796875" style="1" customWidth="1"/>
    <col min="9753" max="9984" width="9.1796875" style="1"/>
    <col min="9985" max="9985" width="8.81640625" style="1" customWidth="1"/>
    <col min="9986" max="9986" width="60.26953125" style="1" customWidth="1"/>
    <col min="9987" max="9989" width="0" style="1" hidden="1" customWidth="1"/>
    <col min="9990" max="9990" width="13.26953125" style="1" customWidth="1"/>
    <col min="9991" max="9992" width="10.26953125" style="1" customWidth="1"/>
    <col min="9993" max="9993" width="10.453125" style="1" customWidth="1"/>
    <col min="9994" max="9997" width="0" style="1" hidden="1" customWidth="1"/>
    <col min="9998" max="9998" width="22.1796875" style="1" customWidth="1"/>
    <col min="9999" max="10000" width="0" style="1" hidden="1" customWidth="1"/>
    <col min="10001" max="10008" width="9.1796875" style="1" customWidth="1"/>
    <col min="10009" max="10240" width="9.1796875" style="1"/>
    <col min="10241" max="10241" width="8.81640625" style="1" customWidth="1"/>
    <col min="10242" max="10242" width="60.26953125" style="1" customWidth="1"/>
    <col min="10243" max="10245" width="0" style="1" hidden="1" customWidth="1"/>
    <col min="10246" max="10246" width="13.26953125" style="1" customWidth="1"/>
    <col min="10247" max="10248" width="10.26953125" style="1" customWidth="1"/>
    <col min="10249" max="10249" width="10.453125" style="1" customWidth="1"/>
    <col min="10250" max="10253" width="0" style="1" hidden="1" customWidth="1"/>
    <col min="10254" max="10254" width="22.1796875" style="1" customWidth="1"/>
    <col min="10255" max="10256" width="0" style="1" hidden="1" customWidth="1"/>
    <col min="10257" max="10264" width="9.1796875" style="1" customWidth="1"/>
    <col min="10265" max="10496" width="9.1796875" style="1"/>
    <col min="10497" max="10497" width="8.81640625" style="1" customWidth="1"/>
    <col min="10498" max="10498" width="60.26953125" style="1" customWidth="1"/>
    <col min="10499" max="10501" width="0" style="1" hidden="1" customWidth="1"/>
    <col min="10502" max="10502" width="13.26953125" style="1" customWidth="1"/>
    <col min="10503" max="10504" width="10.26953125" style="1" customWidth="1"/>
    <col min="10505" max="10505" width="10.453125" style="1" customWidth="1"/>
    <col min="10506" max="10509" width="0" style="1" hidden="1" customWidth="1"/>
    <col min="10510" max="10510" width="22.1796875" style="1" customWidth="1"/>
    <col min="10511" max="10512" width="0" style="1" hidden="1" customWidth="1"/>
    <col min="10513" max="10520" width="9.1796875" style="1" customWidth="1"/>
    <col min="10521" max="10752" width="9.1796875" style="1"/>
    <col min="10753" max="10753" width="8.81640625" style="1" customWidth="1"/>
    <col min="10754" max="10754" width="60.26953125" style="1" customWidth="1"/>
    <col min="10755" max="10757" width="0" style="1" hidden="1" customWidth="1"/>
    <col min="10758" max="10758" width="13.26953125" style="1" customWidth="1"/>
    <col min="10759" max="10760" width="10.26953125" style="1" customWidth="1"/>
    <col min="10761" max="10761" width="10.453125" style="1" customWidth="1"/>
    <col min="10762" max="10765" width="0" style="1" hidden="1" customWidth="1"/>
    <col min="10766" max="10766" width="22.1796875" style="1" customWidth="1"/>
    <col min="10767" max="10768" width="0" style="1" hidden="1" customWidth="1"/>
    <col min="10769" max="10776" width="9.1796875" style="1" customWidth="1"/>
    <col min="10777" max="11008" width="9.1796875" style="1"/>
    <col min="11009" max="11009" width="8.81640625" style="1" customWidth="1"/>
    <col min="11010" max="11010" width="60.26953125" style="1" customWidth="1"/>
    <col min="11011" max="11013" width="0" style="1" hidden="1" customWidth="1"/>
    <col min="11014" max="11014" width="13.26953125" style="1" customWidth="1"/>
    <col min="11015" max="11016" width="10.26953125" style="1" customWidth="1"/>
    <col min="11017" max="11017" width="10.453125" style="1" customWidth="1"/>
    <col min="11018" max="11021" width="0" style="1" hidden="1" customWidth="1"/>
    <col min="11022" max="11022" width="22.1796875" style="1" customWidth="1"/>
    <col min="11023" max="11024" width="0" style="1" hidden="1" customWidth="1"/>
    <col min="11025" max="11032" width="9.1796875" style="1" customWidth="1"/>
    <col min="11033" max="11264" width="9.1796875" style="1"/>
    <col min="11265" max="11265" width="8.81640625" style="1" customWidth="1"/>
    <col min="11266" max="11266" width="60.26953125" style="1" customWidth="1"/>
    <col min="11267" max="11269" width="0" style="1" hidden="1" customWidth="1"/>
    <col min="11270" max="11270" width="13.26953125" style="1" customWidth="1"/>
    <col min="11271" max="11272" width="10.26953125" style="1" customWidth="1"/>
    <col min="11273" max="11273" width="10.453125" style="1" customWidth="1"/>
    <col min="11274" max="11277" width="0" style="1" hidden="1" customWidth="1"/>
    <col min="11278" max="11278" width="22.1796875" style="1" customWidth="1"/>
    <col min="11279" max="11280" width="0" style="1" hidden="1" customWidth="1"/>
    <col min="11281" max="11288" width="9.1796875" style="1" customWidth="1"/>
    <col min="11289" max="11520" width="9.1796875" style="1"/>
    <col min="11521" max="11521" width="8.81640625" style="1" customWidth="1"/>
    <col min="11522" max="11522" width="60.26953125" style="1" customWidth="1"/>
    <col min="11523" max="11525" width="0" style="1" hidden="1" customWidth="1"/>
    <col min="11526" max="11526" width="13.26953125" style="1" customWidth="1"/>
    <col min="11527" max="11528" width="10.26953125" style="1" customWidth="1"/>
    <col min="11529" max="11529" width="10.453125" style="1" customWidth="1"/>
    <col min="11530" max="11533" width="0" style="1" hidden="1" customWidth="1"/>
    <col min="11534" max="11534" width="22.1796875" style="1" customWidth="1"/>
    <col min="11535" max="11536" width="0" style="1" hidden="1" customWidth="1"/>
    <col min="11537" max="11544" width="9.1796875" style="1" customWidth="1"/>
    <col min="11545" max="11776" width="9.1796875" style="1"/>
    <col min="11777" max="11777" width="8.81640625" style="1" customWidth="1"/>
    <col min="11778" max="11778" width="60.26953125" style="1" customWidth="1"/>
    <col min="11779" max="11781" width="0" style="1" hidden="1" customWidth="1"/>
    <col min="11782" max="11782" width="13.26953125" style="1" customWidth="1"/>
    <col min="11783" max="11784" width="10.26953125" style="1" customWidth="1"/>
    <col min="11785" max="11785" width="10.453125" style="1" customWidth="1"/>
    <col min="11786" max="11789" width="0" style="1" hidden="1" customWidth="1"/>
    <col min="11790" max="11790" width="22.1796875" style="1" customWidth="1"/>
    <col min="11791" max="11792" width="0" style="1" hidden="1" customWidth="1"/>
    <col min="11793" max="11800" width="9.1796875" style="1" customWidth="1"/>
    <col min="11801" max="12032" width="9.1796875" style="1"/>
    <col min="12033" max="12033" width="8.81640625" style="1" customWidth="1"/>
    <col min="12034" max="12034" width="60.26953125" style="1" customWidth="1"/>
    <col min="12035" max="12037" width="0" style="1" hidden="1" customWidth="1"/>
    <col min="12038" max="12038" width="13.26953125" style="1" customWidth="1"/>
    <col min="12039" max="12040" width="10.26953125" style="1" customWidth="1"/>
    <col min="12041" max="12041" width="10.453125" style="1" customWidth="1"/>
    <col min="12042" max="12045" width="0" style="1" hidden="1" customWidth="1"/>
    <col min="12046" max="12046" width="22.1796875" style="1" customWidth="1"/>
    <col min="12047" max="12048" width="0" style="1" hidden="1" customWidth="1"/>
    <col min="12049" max="12056" width="9.1796875" style="1" customWidth="1"/>
    <col min="12057" max="12288" width="9.1796875" style="1"/>
    <col min="12289" max="12289" width="8.81640625" style="1" customWidth="1"/>
    <col min="12290" max="12290" width="60.26953125" style="1" customWidth="1"/>
    <col min="12291" max="12293" width="0" style="1" hidden="1" customWidth="1"/>
    <col min="12294" max="12294" width="13.26953125" style="1" customWidth="1"/>
    <col min="12295" max="12296" width="10.26953125" style="1" customWidth="1"/>
    <col min="12297" max="12297" width="10.453125" style="1" customWidth="1"/>
    <col min="12298" max="12301" width="0" style="1" hidden="1" customWidth="1"/>
    <col min="12302" max="12302" width="22.1796875" style="1" customWidth="1"/>
    <col min="12303" max="12304" width="0" style="1" hidden="1" customWidth="1"/>
    <col min="12305" max="12312" width="9.1796875" style="1" customWidth="1"/>
    <col min="12313" max="12544" width="9.1796875" style="1"/>
    <col min="12545" max="12545" width="8.81640625" style="1" customWidth="1"/>
    <col min="12546" max="12546" width="60.26953125" style="1" customWidth="1"/>
    <col min="12547" max="12549" width="0" style="1" hidden="1" customWidth="1"/>
    <col min="12550" max="12550" width="13.26953125" style="1" customWidth="1"/>
    <col min="12551" max="12552" width="10.26953125" style="1" customWidth="1"/>
    <col min="12553" max="12553" width="10.453125" style="1" customWidth="1"/>
    <col min="12554" max="12557" width="0" style="1" hidden="1" customWidth="1"/>
    <col min="12558" max="12558" width="22.1796875" style="1" customWidth="1"/>
    <col min="12559" max="12560" width="0" style="1" hidden="1" customWidth="1"/>
    <col min="12561" max="12568" width="9.1796875" style="1" customWidth="1"/>
    <col min="12569" max="12800" width="9.1796875" style="1"/>
    <col min="12801" max="12801" width="8.81640625" style="1" customWidth="1"/>
    <col min="12802" max="12802" width="60.26953125" style="1" customWidth="1"/>
    <col min="12803" max="12805" width="0" style="1" hidden="1" customWidth="1"/>
    <col min="12806" max="12806" width="13.26953125" style="1" customWidth="1"/>
    <col min="12807" max="12808" width="10.26953125" style="1" customWidth="1"/>
    <col min="12809" max="12809" width="10.453125" style="1" customWidth="1"/>
    <col min="12810" max="12813" width="0" style="1" hidden="1" customWidth="1"/>
    <col min="12814" max="12814" width="22.1796875" style="1" customWidth="1"/>
    <col min="12815" max="12816" width="0" style="1" hidden="1" customWidth="1"/>
    <col min="12817" max="12824" width="9.1796875" style="1" customWidth="1"/>
    <col min="12825" max="13056" width="9.1796875" style="1"/>
    <col min="13057" max="13057" width="8.81640625" style="1" customWidth="1"/>
    <col min="13058" max="13058" width="60.26953125" style="1" customWidth="1"/>
    <col min="13059" max="13061" width="0" style="1" hidden="1" customWidth="1"/>
    <col min="13062" max="13062" width="13.26953125" style="1" customWidth="1"/>
    <col min="13063" max="13064" width="10.26953125" style="1" customWidth="1"/>
    <col min="13065" max="13065" width="10.453125" style="1" customWidth="1"/>
    <col min="13066" max="13069" width="0" style="1" hidden="1" customWidth="1"/>
    <col min="13070" max="13070" width="22.1796875" style="1" customWidth="1"/>
    <col min="13071" max="13072" width="0" style="1" hidden="1" customWidth="1"/>
    <col min="13073" max="13080" width="9.1796875" style="1" customWidth="1"/>
    <col min="13081" max="13312" width="9.1796875" style="1"/>
    <col min="13313" max="13313" width="8.81640625" style="1" customWidth="1"/>
    <col min="13314" max="13314" width="60.26953125" style="1" customWidth="1"/>
    <col min="13315" max="13317" width="0" style="1" hidden="1" customWidth="1"/>
    <col min="13318" max="13318" width="13.26953125" style="1" customWidth="1"/>
    <col min="13319" max="13320" width="10.26953125" style="1" customWidth="1"/>
    <col min="13321" max="13321" width="10.453125" style="1" customWidth="1"/>
    <col min="13322" max="13325" width="0" style="1" hidden="1" customWidth="1"/>
    <col min="13326" max="13326" width="22.1796875" style="1" customWidth="1"/>
    <col min="13327" max="13328" width="0" style="1" hidden="1" customWidth="1"/>
    <col min="13329" max="13336" width="9.1796875" style="1" customWidth="1"/>
    <col min="13337" max="13568" width="9.1796875" style="1"/>
    <col min="13569" max="13569" width="8.81640625" style="1" customWidth="1"/>
    <col min="13570" max="13570" width="60.26953125" style="1" customWidth="1"/>
    <col min="13571" max="13573" width="0" style="1" hidden="1" customWidth="1"/>
    <col min="13574" max="13574" width="13.26953125" style="1" customWidth="1"/>
    <col min="13575" max="13576" width="10.26953125" style="1" customWidth="1"/>
    <col min="13577" max="13577" width="10.453125" style="1" customWidth="1"/>
    <col min="13578" max="13581" width="0" style="1" hidden="1" customWidth="1"/>
    <col min="13582" max="13582" width="22.1796875" style="1" customWidth="1"/>
    <col min="13583" max="13584" width="0" style="1" hidden="1" customWidth="1"/>
    <col min="13585" max="13592" width="9.1796875" style="1" customWidth="1"/>
    <col min="13593" max="13824" width="9.1796875" style="1"/>
    <col min="13825" max="13825" width="8.81640625" style="1" customWidth="1"/>
    <col min="13826" max="13826" width="60.26953125" style="1" customWidth="1"/>
    <col min="13827" max="13829" width="0" style="1" hidden="1" customWidth="1"/>
    <col min="13830" max="13830" width="13.26953125" style="1" customWidth="1"/>
    <col min="13831" max="13832" width="10.26953125" style="1" customWidth="1"/>
    <col min="13833" max="13833" width="10.453125" style="1" customWidth="1"/>
    <col min="13834" max="13837" width="0" style="1" hidden="1" customWidth="1"/>
    <col min="13838" max="13838" width="22.1796875" style="1" customWidth="1"/>
    <col min="13839" max="13840" width="0" style="1" hidden="1" customWidth="1"/>
    <col min="13841" max="13848" width="9.1796875" style="1" customWidth="1"/>
    <col min="13849" max="14080" width="9.1796875" style="1"/>
    <col min="14081" max="14081" width="8.81640625" style="1" customWidth="1"/>
    <col min="14082" max="14082" width="60.26953125" style="1" customWidth="1"/>
    <col min="14083" max="14085" width="0" style="1" hidden="1" customWidth="1"/>
    <col min="14086" max="14086" width="13.26953125" style="1" customWidth="1"/>
    <col min="14087" max="14088" width="10.26953125" style="1" customWidth="1"/>
    <col min="14089" max="14089" width="10.453125" style="1" customWidth="1"/>
    <col min="14090" max="14093" width="0" style="1" hidden="1" customWidth="1"/>
    <col min="14094" max="14094" width="22.1796875" style="1" customWidth="1"/>
    <col min="14095" max="14096" width="0" style="1" hidden="1" customWidth="1"/>
    <col min="14097" max="14104" width="9.1796875" style="1" customWidth="1"/>
    <col min="14105" max="14336" width="9.1796875" style="1"/>
    <col min="14337" max="14337" width="8.81640625" style="1" customWidth="1"/>
    <col min="14338" max="14338" width="60.26953125" style="1" customWidth="1"/>
    <col min="14339" max="14341" width="0" style="1" hidden="1" customWidth="1"/>
    <col min="14342" max="14342" width="13.26953125" style="1" customWidth="1"/>
    <col min="14343" max="14344" width="10.26953125" style="1" customWidth="1"/>
    <col min="14345" max="14345" width="10.453125" style="1" customWidth="1"/>
    <col min="14346" max="14349" width="0" style="1" hidden="1" customWidth="1"/>
    <col min="14350" max="14350" width="22.1796875" style="1" customWidth="1"/>
    <col min="14351" max="14352" width="0" style="1" hidden="1" customWidth="1"/>
    <col min="14353" max="14360" width="9.1796875" style="1" customWidth="1"/>
    <col min="14361" max="14592" width="9.1796875" style="1"/>
    <col min="14593" max="14593" width="8.81640625" style="1" customWidth="1"/>
    <col min="14594" max="14594" width="60.26953125" style="1" customWidth="1"/>
    <col min="14595" max="14597" width="0" style="1" hidden="1" customWidth="1"/>
    <col min="14598" max="14598" width="13.26953125" style="1" customWidth="1"/>
    <col min="14599" max="14600" width="10.26953125" style="1" customWidth="1"/>
    <col min="14601" max="14601" width="10.453125" style="1" customWidth="1"/>
    <col min="14602" max="14605" width="0" style="1" hidden="1" customWidth="1"/>
    <col min="14606" max="14606" width="22.1796875" style="1" customWidth="1"/>
    <col min="14607" max="14608" width="0" style="1" hidden="1" customWidth="1"/>
    <col min="14609" max="14616" width="9.1796875" style="1" customWidth="1"/>
    <col min="14617" max="14848" width="9.1796875" style="1"/>
    <col min="14849" max="14849" width="8.81640625" style="1" customWidth="1"/>
    <col min="14850" max="14850" width="60.26953125" style="1" customWidth="1"/>
    <col min="14851" max="14853" width="0" style="1" hidden="1" customWidth="1"/>
    <col min="14854" max="14854" width="13.26953125" style="1" customWidth="1"/>
    <col min="14855" max="14856" width="10.26953125" style="1" customWidth="1"/>
    <col min="14857" max="14857" width="10.453125" style="1" customWidth="1"/>
    <col min="14858" max="14861" width="0" style="1" hidden="1" customWidth="1"/>
    <col min="14862" max="14862" width="22.1796875" style="1" customWidth="1"/>
    <col min="14863" max="14864" width="0" style="1" hidden="1" customWidth="1"/>
    <col min="14865" max="14872" width="9.1796875" style="1" customWidth="1"/>
    <col min="14873" max="15104" width="9.1796875" style="1"/>
    <col min="15105" max="15105" width="8.81640625" style="1" customWidth="1"/>
    <col min="15106" max="15106" width="60.26953125" style="1" customWidth="1"/>
    <col min="15107" max="15109" width="0" style="1" hidden="1" customWidth="1"/>
    <col min="15110" max="15110" width="13.26953125" style="1" customWidth="1"/>
    <col min="15111" max="15112" width="10.26953125" style="1" customWidth="1"/>
    <col min="15113" max="15113" width="10.453125" style="1" customWidth="1"/>
    <col min="15114" max="15117" width="0" style="1" hidden="1" customWidth="1"/>
    <col min="15118" max="15118" width="22.1796875" style="1" customWidth="1"/>
    <col min="15119" max="15120" width="0" style="1" hidden="1" customWidth="1"/>
    <col min="15121" max="15128" width="9.1796875" style="1" customWidth="1"/>
    <col min="15129" max="15360" width="9.1796875" style="1"/>
    <col min="15361" max="15361" width="8.81640625" style="1" customWidth="1"/>
    <col min="15362" max="15362" width="60.26953125" style="1" customWidth="1"/>
    <col min="15363" max="15365" width="0" style="1" hidden="1" customWidth="1"/>
    <col min="15366" max="15366" width="13.26953125" style="1" customWidth="1"/>
    <col min="15367" max="15368" width="10.26953125" style="1" customWidth="1"/>
    <col min="15369" max="15369" width="10.453125" style="1" customWidth="1"/>
    <col min="15370" max="15373" width="0" style="1" hidden="1" customWidth="1"/>
    <col min="15374" max="15374" width="22.1796875" style="1" customWidth="1"/>
    <col min="15375" max="15376" width="0" style="1" hidden="1" customWidth="1"/>
    <col min="15377" max="15384" width="9.1796875" style="1" customWidth="1"/>
    <col min="15385" max="15616" width="9.1796875" style="1"/>
    <col min="15617" max="15617" width="8.81640625" style="1" customWidth="1"/>
    <col min="15618" max="15618" width="60.26953125" style="1" customWidth="1"/>
    <col min="15619" max="15621" width="0" style="1" hidden="1" customWidth="1"/>
    <col min="15622" max="15622" width="13.26953125" style="1" customWidth="1"/>
    <col min="15623" max="15624" width="10.26953125" style="1" customWidth="1"/>
    <col min="15625" max="15625" width="10.453125" style="1" customWidth="1"/>
    <col min="15626" max="15629" width="0" style="1" hidden="1" customWidth="1"/>
    <col min="15630" max="15630" width="22.1796875" style="1" customWidth="1"/>
    <col min="15631" max="15632" width="0" style="1" hidden="1" customWidth="1"/>
    <col min="15633" max="15640" width="9.1796875" style="1" customWidth="1"/>
    <col min="15641" max="15872" width="9.1796875" style="1"/>
    <col min="15873" max="15873" width="8.81640625" style="1" customWidth="1"/>
    <col min="15874" max="15874" width="60.26953125" style="1" customWidth="1"/>
    <col min="15875" max="15877" width="0" style="1" hidden="1" customWidth="1"/>
    <col min="15878" max="15878" width="13.26953125" style="1" customWidth="1"/>
    <col min="15879" max="15880" width="10.26953125" style="1" customWidth="1"/>
    <col min="15881" max="15881" width="10.453125" style="1" customWidth="1"/>
    <col min="15882" max="15885" width="0" style="1" hidden="1" customWidth="1"/>
    <col min="15886" max="15886" width="22.1796875" style="1" customWidth="1"/>
    <col min="15887" max="15888" width="0" style="1" hidden="1" customWidth="1"/>
    <col min="15889" max="15896" width="9.1796875" style="1" customWidth="1"/>
    <col min="15897" max="16128" width="9.1796875" style="1"/>
    <col min="16129" max="16129" width="8.81640625" style="1" customWidth="1"/>
    <col min="16130" max="16130" width="60.26953125" style="1" customWidth="1"/>
    <col min="16131" max="16133" width="0" style="1" hidden="1" customWidth="1"/>
    <col min="16134" max="16134" width="13.26953125" style="1" customWidth="1"/>
    <col min="16135" max="16136" width="10.26953125" style="1" customWidth="1"/>
    <col min="16137" max="16137" width="10.453125" style="1" customWidth="1"/>
    <col min="16138" max="16141" width="0" style="1" hidden="1" customWidth="1"/>
    <col min="16142" max="16142" width="22.1796875" style="1" customWidth="1"/>
    <col min="16143" max="16144" width="0" style="1" hidden="1" customWidth="1"/>
    <col min="16145" max="16152" width="9.1796875" style="1" customWidth="1"/>
    <col min="16153" max="16384" width="9.1796875" style="1"/>
  </cols>
  <sheetData>
    <row r="1" spans="1:23" ht="15.5" x14ac:dyDescent="0.35">
      <c r="J1" s="389"/>
      <c r="K1" s="389"/>
      <c r="L1" s="389"/>
      <c r="M1" s="389"/>
      <c r="N1" s="707" t="s">
        <v>822</v>
      </c>
      <c r="O1" s="389"/>
      <c r="P1" s="3023"/>
      <c r="Q1" s="3023"/>
      <c r="R1" s="3023"/>
      <c r="S1" s="3023"/>
      <c r="T1" s="3023"/>
      <c r="U1" s="3023"/>
    </row>
    <row r="2" spans="1:23" ht="15.5" x14ac:dyDescent="0.35">
      <c r="I2" s="3023" t="s">
        <v>450</v>
      </c>
      <c r="J2" s="3023"/>
      <c r="K2" s="3023"/>
      <c r="L2" s="3023"/>
      <c r="M2" s="3023"/>
      <c r="N2" s="3023"/>
      <c r="O2" s="5"/>
      <c r="P2" s="3023"/>
      <c r="Q2" s="3023"/>
      <c r="R2" s="3023"/>
      <c r="S2" s="3023"/>
      <c r="T2" s="3023"/>
      <c r="U2" s="3023"/>
    </row>
    <row r="3" spans="1:23" ht="15.5" x14ac:dyDescent="0.35">
      <c r="C3" s="261"/>
      <c r="D3" s="261"/>
      <c r="E3" s="261"/>
      <c r="F3" s="3023" t="s">
        <v>449</v>
      </c>
      <c r="G3" s="3023"/>
      <c r="H3" s="3023"/>
      <c r="I3" s="3023"/>
      <c r="J3" s="3023"/>
      <c r="K3" s="3023"/>
      <c r="L3" s="3023"/>
      <c r="M3" s="3023"/>
      <c r="N3" s="3023"/>
      <c r="O3" s="261"/>
      <c r="P3" s="261"/>
      <c r="Q3" s="261"/>
      <c r="R3" s="261"/>
      <c r="S3" s="261"/>
      <c r="T3" s="261"/>
      <c r="U3" s="261"/>
    </row>
    <row r="4" spans="1:23" ht="15.5" x14ac:dyDescent="0.3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023"/>
      <c r="Q4" s="3023"/>
      <c r="R4" s="3023"/>
      <c r="S4" s="3023"/>
      <c r="T4" s="3023"/>
      <c r="U4" s="3023"/>
    </row>
    <row r="5" spans="1:23" ht="15.5" x14ac:dyDescent="0.25">
      <c r="D5" s="258" t="s">
        <v>447</v>
      </c>
      <c r="E5" s="258"/>
      <c r="F5" s="258"/>
      <c r="G5" s="3027" t="s">
        <v>895</v>
      </c>
      <c r="H5" s="3027"/>
      <c r="I5" s="3027"/>
      <c r="J5" s="3027"/>
      <c r="K5" s="3027"/>
      <c r="L5" s="3027"/>
      <c r="M5" s="3027"/>
      <c r="N5" s="3027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5" hidden="1" x14ac:dyDescent="0.3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5" hidden="1" x14ac:dyDescent="0.3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5" hidden="1" x14ac:dyDescent="0.3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5" x14ac:dyDescent="0.3"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5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5" customHeight="1" x14ac:dyDescent="0.35">
      <c r="A14" s="3486" t="s">
        <v>440</v>
      </c>
      <c r="B14" s="3486"/>
      <c r="C14" s="3486"/>
      <c r="D14" s="3486"/>
      <c r="E14" s="3486"/>
      <c r="F14" s="3486"/>
      <c r="G14" s="3486"/>
      <c r="H14" s="3486"/>
      <c r="I14" s="3486"/>
      <c r="J14" s="3486"/>
      <c r="K14" s="238"/>
      <c r="L14" s="1"/>
      <c r="M14" s="1"/>
      <c r="N14" s="1"/>
      <c r="O14" s="1"/>
      <c r="P14" s="1"/>
    </row>
    <row r="15" spans="1:23" ht="15" customHeight="1" x14ac:dyDescent="0.35">
      <c r="A15" s="3486" t="s">
        <v>439</v>
      </c>
      <c r="B15" s="3486"/>
      <c r="C15" s="3486"/>
      <c r="D15" s="3486"/>
      <c r="E15" s="3486"/>
      <c r="F15" s="3486"/>
      <c r="G15" s="3486"/>
      <c r="H15" s="3486"/>
      <c r="I15" s="3486"/>
      <c r="J15" s="3486"/>
      <c r="K15" s="238"/>
      <c r="L15" s="1"/>
      <c r="M15" s="1"/>
      <c r="N15" s="1"/>
      <c r="O15" s="1"/>
      <c r="P15" s="1"/>
    </row>
    <row r="16" spans="1:23" ht="13.5" customHeight="1" x14ac:dyDescent="0.3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35">
      <c r="A17" s="3486" t="s">
        <v>896</v>
      </c>
      <c r="B17" s="3486"/>
      <c r="C17" s="3486"/>
      <c r="D17" s="3486"/>
      <c r="E17" s="3486"/>
      <c r="F17" s="3486"/>
      <c r="G17" s="3486"/>
      <c r="H17" s="3486"/>
      <c r="I17" s="3486"/>
      <c r="J17" s="3486"/>
      <c r="K17" s="238"/>
      <c r="L17" s="1"/>
      <c r="M17" s="1"/>
      <c r="N17" s="1"/>
      <c r="O17" s="1"/>
      <c r="P17" s="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5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" hidden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" hidden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" hidden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t="13" hidden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4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t="13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t="13" hidden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t="13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t="13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t="13" hidden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t="13" hidden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8" hidden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" hidden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5" hidden="1" x14ac:dyDescent="0.3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650000000000006" hidden="1" customHeight="1" x14ac:dyDescent="0.3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3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52" hidden="1" x14ac:dyDescent="0.3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"/>
      <c r="O128" s="1"/>
      <c r="P128" s="1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1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t="13" hidden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t="13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t="13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52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52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78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5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t="13" hidden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8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13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5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ht="13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ht="13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ht="13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ht="13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x14ac:dyDescent="0.3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x14ac:dyDescent="0.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x14ac:dyDescent="0.3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39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" x14ac:dyDescent="0.3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ht="13" x14ac:dyDescent="0.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" x14ac:dyDescent="0.3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5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5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9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 x14ac:dyDescent="0.3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t="13" hidden="1" x14ac:dyDescent="0.3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t="13" hidden="1" x14ac:dyDescent="0.3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5" hidden="1" customHeight="1" x14ac:dyDescent="0.3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t="13" hidden="1" x14ac:dyDescent="0.3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 x14ac:dyDescent="0.3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 x14ac:dyDescent="0.3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 x14ac:dyDescent="0.3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 x14ac:dyDescent="0.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 x14ac:dyDescent="0.3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 x14ac:dyDescent="0.3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 x14ac:dyDescent="0.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 x14ac:dyDescent="0.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3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 x14ac:dyDescent="0.3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5" customHeight="1" x14ac:dyDescent="0.3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hidden="1" customHeight="1" x14ac:dyDescent="0.3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3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3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3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3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3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3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3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3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 x14ac:dyDescent="0.3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ht="13" x14ac:dyDescent="0.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" x14ac:dyDescent="0.3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ht="13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" x14ac:dyDescent="0.3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 x14ac:dyDescent="0.3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5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t="13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 x14ac:dyDescent="0.3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 x14ac:dyDescent="0.3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 x14ac:dyDescent="0.3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5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 x14ac:dyDescent="0.3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 x14ac:dyDescent="0.3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650000000000006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3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3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3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3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3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 x14ac:dyDescent="0.3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ht="13" x14ac:dyDescent="0.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5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3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3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5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3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3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ht="13" x14ac:dyDescent="0.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" x14ac:dyDescent="0.3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ht="13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ht="13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ht="13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ht="13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t="13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t="13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ht="13" x14ac:dyDescent="0.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ht="13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 x14ac:dyDescent="0.3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 x14ac:dyDescent="0.3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 x14ac:dyDescent="0.3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 x14ac:dyDescent="0.3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 x14ac:dyDescent="0.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x14ac:dyDescent="0.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x14ac:dyDescent="0.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 x14ac:dyDescent="0.3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 x14ac:dyDescent="0.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 x14ac:dyDescent="0.3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 x14ac:dyDescent="0.3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ht="13" x14ac:dyDescent="0.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ht="13" x14ac:dyDescent="0.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t="13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t="13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t="13" hidden="1" x14ac:dyDescent="0.3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" hidden="1" x14ac:dyDescent="0.3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t="13" hidden="1" x14ac:dyDescent="0.3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 x14ac:dyDescent="0.3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 x14ac:dyDescent="0.3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 x14ac:dyDescent="0.3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 x14ac:dyDescent="0.3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 x14ac:dyDescent="0.3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 x14ac:dyDescent="0.3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 x14ac:dyDescent="0.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 x14ac:dyDescent="0.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 x14ac:dyDescent="0.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 x14ac:dyDescent="0.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 x14ac:dyDescent="0.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 x14ac:dyDescent="0.3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 x14ac:dyDescent="0.3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 x14ac:dyDescent="0.3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13" x14ac:dyDescent="0.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 x14ac:dyDescent="0.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 x14ac:dyDescent="0.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 x14ac:dyDescent="0.3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 x14ac:dyDescent="0.3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hidden="1" customHeight="1" x14ac:dyDescent="0.3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477" t="s">
        <v>20</v>
      </c>
      <c r="H459" s="3478"/>
      <c r="I459" s="3478"/>
      <c r="J459" s="3479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5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477" t="s">
        <v>17</v>
      </c>
      <c r="H460" s="3478"/>
      <c r="I460" s="3478"/>
      <c r="J460" s="3479"/>
      <c r="K460" s="41"/>
      <c r="L460" s="2"/>
      <c r="M460" s="40"/>
      <c r="N460" s="833"/>
      <c r="O460" s="1"/>
      <c r="P460" s="1"/>
    </row>
    <row r="461" spans="1:24" ht="26" hidden="1" x14ac:dyDescent="0.3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t="13" hidden="1" x14ac:dyDescent="0.3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t="13" hidden="1" x14ac:dyDescent="0.3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t="13" hidden="1" x14ac:dyDescent="0.3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t="13" hidden="1" x14ac:dyDescent="0.3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t="13" hidden="1" x14ac:dyDescent="0.3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t="13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t="13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t="13" hidden="1" x14ac:dyDescent="0.3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t="13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t="13" hidden="1" x14ac:dyDescent="0.3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t="13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 x14ac:dyDescent="0.3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hidden="1" customHeight="1" x14ac:dyDescent="0.3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477" t="s">
        <v>20</v>
      </c>
      <c r="H488" s="3478"/>
      <c r="I488" s="3478"/>
      <c r="J488" s="3479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477" t="s">
        <v>17</v>
      </c>
      <c r="H489" s="3478"/>
      <c r="I489" s="3478"/>
      <c r="J489" s="3479"/>
      <c r="K489" s="41"/>
      <c r="L489" s="2"/>
      <c r="M489" s="40"/>
      <c r="N489" s="833"/>
      <c r="O489" s="1"/>
      <c r="P489" s="1"/>
    </row>
    <row r="490" spans="1:16" ht="16.899999999999999" hidden="1" customHeight="1" x14ac:dyDescent="0.3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 x14ac:dyDescent="0.3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3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3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 x14ac:dyDescent="0.3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3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3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3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3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 x14ac:dyDescent="0.3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3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3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3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3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3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3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3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3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3" x14ac:dyDescent="0.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3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3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" hidden="1" x14ac:dyDescent="0.3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 x14ac:dyDescent="0.3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t="13" hidden="1" x14ac:dyDescent="0.3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" hidden="1" x14ac:dyDescent="0.3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263" hidden="1" customWidth="1"/>
    <col min="11" max="11" width="14.7265625" style="263" hidden="1" customWidth="1"/>
    <col min="12" max="12" width="15.81640625" style="263" hidden="1" customWidth="1"/>
    <col min="13" max="13" width="18.7265625" style="263" hidden="1" customWidth="1"/>
    <col min="14" max="14" width="22.1796875" style="263" hidden="1" customWidth="1"/>
    <col min="15" max="15" width="22.1796875" style="263" customWidth="1"/>
    <col min="16" max="16" width="22.1796875" style="129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57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 x14ac:dyDescent="0.3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023" t="s">
        <v>450</v>
      </c>
      <c r="M2" s="3023"/>
      <c r="N2" s="3023"/>
      <c r="O2" s="3023"/>
      <c r="P2" s="3023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 x14ac:dyDescent="0.3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 x14ac:dyDescent="0.3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 x14ac:dyDescent="0.3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 x14ac:dyDescent="0.3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 x14ac:dyDescent="0.3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 x14ac:dyDescent="0.3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 x14ac:dyDescent="0.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 x14ac:dyDescent="0.3">
      <c r="A12" s="1"/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 x14ac:dyDescent="0.3">
      <c r="A13" s="3481" t="s">
        <v>441</v>
      </c>
      <c r="B13" s="3481"/>
      <c r="C13" s="3481"/>
      <c r="D13" s="3481"/>
      <c r="E13" s="3481"/>
      <c r="F13" s="3481"/>
      <c r="G13" s="3481"/>
      <c r="H13" s="3481"/>
      <c r="I13" s="3481"/>
      <c r="J13" s="3481"/>
      <c r="K13" s="3481"/>
      <c r="L13" s="3481"/>
      <c r="M13" s="3481"/>
      <c r="N13" s="3481"/>
      <c r="O13" s="3481"/>
      <c r="P13" s="348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 x14ac:dyDescent="0.3">
      <c r="A14" s="3481" t="s">
        <v>440</v>
      </c>
      <c r="B14" s="3481"/>
      <c r="C14" s="3481"/>
      <c r="D14" s="3481"/>
      <c r="E14" s="3481"/>
      <c r="F14" s="3481"/>
      <c r="G14" s="3481"/>
      <c r="H14" s="3481"/>
      <c r="I14" s="3481"/>
      <c r="J14" s="3481"/>
      <c r="K14" s="3481"/>
      <c r="L14" s="3481"/>
      <c r="M14" s="3481"/>
      <c r="N14" s="3481"/>
      <c r="O14" s="3481"/>
      <c r="P14" s="3481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3481" t="s">
        <v>439</v>
      </c>
      <c r="B15" s="3481"/>
      <c r="C15" s="3481"/>
      <c r="D15" s="3481"/>
      <c r="E15" s="3481"/>
      <c r="F15" s="3481"/>
      <c r="G15" s="3481"/>
      <c r="H15" s="3481"/>
      <c r="I15" s="3481"/>
      <c r="J15" s="3481"/>
      <c r="K15" s="3481"/>
      <c r="L15" s="3481"/>
      <c r="M15" s="3481"/>
      <c r="N15" s="3481"/>
      <c r="O15" s="3481"/>
      <c r="P15" s="3481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3481" t="s">
        <v>438</v>
      </c>
      <c r="B16" s="3481"/>
      <c r="C16" s="3481"/>
      <c r="D16" s="3481"/>
      <c r="E16" s="3481"/>
      <c r="F16" s="3481"/>
      <c r="G16" s="3481"/>
      <c r="H16" s="3481"/>
      <c r="I16" s="3481"/>
      <c r="J16" s="3481"/>
      <c r="K16" s="3481"/>
      <c r="L16" s="3481"/>
      <c r="M16" s="3481"/>
      <c r="N16" s="3481"/>
      <c r="O16" s="3481"/>
      <c r="P16" s="348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3">
      <c r="A17" s="3481" t="s">
        <v>898</v>
      </c>
      <c r="B17" s="3481"/>
      <c r="C17" s="3481"/>
      <c r="D17" s="3481"/>
      <c r="E17" s="3481"/>
      <c r="F17" s="3481"/>
      <c r="G17" s="3481"/>
      <c r="H17" s="3481"/>
      <c r="I17" s="3481"/>
      <c r="J17" s="3481"/>
      <c r="K17" s="3481"/>
      <c r="L17" s="3481"/>
      <c r="M17" s="3481"/>
      <c r="N17" s="3481"/>
      <c r="O17" s="3481"/>
      <c r="P17" s="348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3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3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3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3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3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3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3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3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3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3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3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3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3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3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3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3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hidden="1" customHeight="1" x14ac:dyDescent="0.3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3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3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3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hidden="1" customHeight="1" x14ac:dyDescent="0.3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3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49999999999999" hidden="1" customHeight="1" x14ac:dyDescent="0.3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3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3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3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3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3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3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3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3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3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3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3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13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ht="13" x14ac:dyDescent="0.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ht="13" x14ac:dyDescent="0.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ht="13" x14ac:dyDescent="0.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ht="13" x14ac:dyDescent="0.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ht="13" x14ac:dyDescent="0.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13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 x14ac:dyDescent="0.3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 x14ac:dyDescent="0.3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 x14ac:dyDescent="0.3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5" customHeight="1" x14ac:dyDescent="0.3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3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 x14ac:dyDescent="0.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49999999999999" hidden="1" customHeight="1" x14ac:dyDescent="0.3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 x14ac:dyDescent="0.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 x14ac:dyDescent="0.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 x14ac:dyDescent="0.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.5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hidden="1" customHeight="1" x14ac:dyDescent="0.3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3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5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3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ht="13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5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3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3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ht="13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 x14ac:dyDescent="0.3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 x14ac:dyDescent="0.3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 x14ac:dyDescent="0.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 x14ac:dyDescent="0.3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 x14ac:dyDescent="0.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 x14ac:dyDescent="0.3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 x14ac:dyDescent="0.3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ht="13" x14ac:dyDescent="0.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3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5" customHeight="1" x14ac:dyDescent="0.3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5" customHeight="1" x14ac:dyDescent="0.3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5" customHeight="1" x14ac:dyDescent="0.3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3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3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3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3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3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3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3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3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 x14ac:dyDescent="0.3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 x14ac:dyDescent="0.3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 x14ac:dyDescent="0.3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 x14ac:dyDescent="0.3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 x14ac:dyDescent="0.3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5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 x14ac:dyDescent="0.3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 x14ac:dyDescent="0.3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 x14ac:dyDescent="0.3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 x14ac:dyDescent="0.3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 x14ac:dyDescent="0.3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0000000000006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3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3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3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3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3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 x14ac:dyDescent="0.3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 x14ac:dyDescent="0.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3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3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3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3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26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ht="13" x14ac:dyDescent="0.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9" x14ac:dyDescent="0.3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ht="13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ht="13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ht="13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6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ht="13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t="13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t="13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ht="13" x14ac:dyDescent="0.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ht="13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 x14ac:dyDescent="0.3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 x14ac:dyDescent="0.3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 x14ac:dyDescent="0.3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 x14ac:dyDescent="0.3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 x14ac:dyDescent="0.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 x14ac:dyDescent="0.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 x14ac:dyDescent="0.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 x14ac:dyDescent="0.3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x14ac:dyDescent="0.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 x14ac:dyDescent="0.3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 x14ac:dyDescent="0.3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 x14ac:dyDescent="0.3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ht="13" x14ac:dyDescent="0.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ht="13" x14ac:dyDescent="0.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t="13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t="13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t="13" hidden="1" x14ac:dyDescent="0.3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" hidden="1" x14ac:dyDescent="0.3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t="13" hidden="1" x14ac:dyDescent="0.3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 x14ac:dyDescent="0.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 x14ac:dyDescent="0.3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 x14ac:dyDescent="0.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 x14ac:dyDescent="0.3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 x14ac:dyDescent="0.3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13" x14ac:dyDescent="0.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 x14ac:dyDescent="0.3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 x14ac:dyDescent="0.3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 x14ac:dyDescent="0.3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477" t="s">
        <v>20</v>
      </c>
      <c r="H445" s="3478"/>
      <c r="I445" s="3478"/>
      <c r="J445" s="3479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5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477" t="s">
        <v>17</v>
      </c>
      <c r="H446" s="3478"/>
      <c r="I446" s="3478"/>
      <c r="J446" s="3479"/>
      <c r="K446" s="41"/>
      <c r="L446" s="2"/>
      <c r="M446" s="40"/>
      <c r="N446" s="2"/>
      <c r="O446" s="2"/>
      <c r="P446" s="433"/>
    </row>
    <row r="447" spans="1:24" ht="26" hidden="1" x14ac:dyDescent="0.3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t="13" hidden="1" x14ac:dyDescent="0.3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t="13" hidden="1" x14ac:dyDescent="0.3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t="13" hidden="1" x14ac:dyDescent="0.3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t="13" hidden="1" x14ac:dyDescent="0.3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t="13" hidden="1" x14ac:dyDescent="0.3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t="13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t="13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t="13" hidden="1" x14ac:dyDescent="0.3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6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t="13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 x14ac:dyDescent="0.3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hidden="1" customHeight="1" x14ac:dyDescent="0.3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477" t="s">
        <v>20</v>
      </c>
      <c r="H471" s="3478"/>
      <c r="I471" s="3478"/>
      <c r="J471" s="3479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477" t="s">
        <v>17</v>
      </c>
      <c r="H472" s="3478"/>
      <c r="I472" s="3478"/>
      <c r="J472" s="3479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3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 x14ac:dyDescent="0.3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3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3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3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3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7" customHeight="1" x14ac:dyDescent="0.3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3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3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 x14ac:dyDescent="0.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3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3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" x14ac:dyDescent="0.3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ht="13" x14ac:dyDescent="0.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ht="13" x14ac:dyDescent="0.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" x14ac:dyDescent="0.3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ht="13" x14ac:dyDescent="0.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3" hidden="1" x14ac:dyDescent="0.3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t="13" hidden="1" x14ac:dyDescent="0.3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t="13" hidden="1" x14ac:dyDescent="0.3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3" x14ac:dyDescent="0.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ht="13" x14ac:dyDescent="0.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3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3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29</vt:i4>
      </vt:variant>
    </vt:vector>
  </HeadingPairs>
  <TitlesOfParts>
    <vt:vector size="59" baseType="lpstr">
      <vt:lpstr>прил2 дох 2019-2021 </vt:lpstr>
      <vt:lpstr>прил4 дох 2020 21</vt:lpstr>
      <vt:lpstr>прил2 дох 2022-2024..</vt:lpstr>
      <vt:lpstr>прил2 дох 2020-2022.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2022-2024...</vt:lpstr>
      <vt:lpstr>прил 5 2022-2024.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8 2021-2023..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2022-2024...'!Область_печати</vt:lpstr>
      <vt:lpstr>'прил 5 2019-2021 '!Область_печати</vt:lpstr>
      <vt:lpstr>'прил 5 2020-2022'!Область_печати</vt:lpstr>
      <vt:lpstr>'прил 5 2022-2024.'!Область_печати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8 2021-2023..'!Область_печати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2022-2024..'!Область_печати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2022-02-01T14:10:15Z</cp:lastPrinted>
  <dcterms:created xsi:type="dcterms:W3CDTF">2016-11-18T06:27:13Z</dcterms:created>
  <dcterms:modified xsi:type="dcterms:W3CDTF">2022-02-17T05:25:13Z</dcterms:modified>
</cp:coreProperties>
</file>