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" yWindow="4080" windowWidth="19420" windowHeight="6950" tabRatio="718" firstSheet="4" activeTab="19"/>
  </bookViews>
  <sheets>
    <sheet name="прил2 дох 2019-2021 " sheetId="4" state="hidden" r:id="rId1"/>
    <sheet name="прил4 дох 2020 21" sheetId="6" state="hidden" r:id="rId2"/>
    <sheet name="прил2 дох 2021-2023.." sheetId="27" state="hidden" r:id="rId3"/>
    <sheet name="прил2 дох 2020-2022." sheetId="15" state="hidden" r:id="rId4"/>
    <sheet name="прил2 дох 2021-2023" sheetId="36" r:id="rId5"/>
    <sheet name="прил 5 2021-2023" sheetId="22" r:id="rId6"/>
    <sheet name="прил 5 2020-2022" sheetId="21" state="hidden" r:id="rId7"/>
    <sheet name="прил 5 2019-2021 " sheetId="11" state="hidden" r:id="rId8"/>
    <sheet name="прил 7 2017 " sheetId="5" state="hidden" r:id="rId9"/>
    <sheet name="прил 6 2020 2021" sheetId="13" state="hidden" r:id="rId10"/>
    <sheet name="прил 8 2018 2019" sheetId="1" state="hidden" r:id="rId11"/>
    <sheet name="прил 6 2019-2021" sheetId="12" state="hidden" r:id="rId12"/>
    <sheet name="прил 9 2017 " sheetId="3" state="hidden" r:id="rId13"/>
    <sheet name="прил 8 2020-21" sheetId="14" state="hidden" r:id="rId14"/>
    <sheet name="прил 10 2018-19" sheetId="2" state="hidden" r:id="rId15"/>
    <sheet name="прил 6 2020-2022" sheetId="20" state="hidden" r:id="rId16"/>
    <sheet name="прил 6 2019-2021." sheetId="17" state="hidden" r:id="rId17"/>
    <sheet name="прил 6 2021-2023" sheetId="28" r:id="rId18"/>
    <sheet name="прил7 2021-2023" sheetId="38" r:id="rId19"/>
    <sheet name="прил 10 2021-2023" sheetId="37" r:id="rId20"/>
    <sheet name="прил8 2021-2022." sheetId="35" state="hidden" r:id="rId21"/>
    <sheet name="прил 6 2020-2022." sheetId="23" state="hidden" r:id="rId22"/>
    <sheet name="прил 7 2020-2022" sheetId="16" state="hidden" r:id="rId23"/>
    <sheet name="прил8 2020-2022 " sheetId="7" state="hidden" r:id="rId24"/>
    <sheet name="прил 13 " sheetId="8" state="hidden" r:id="rId25"/>
    <sheet name="прил 10 2020-2022" sheetId="9" state="hidden" r:id="rId26"/>
    <sheet name="прил 10 2020-2022." sheetId="26" state="hidden" r:id="rId27"/>
    <sheet name="прил 7 2020-2022." sheetId="30" state="hidden" r:id="rId28"/>
    <sheet name="прил 7 2021-2023." sheetId="34" state="hidden" r:id="rId29"/>
    <sheet name="прил 7 2021-2023" sheetId="31" state="hidden" r:id="rId30"/>
    <sheet name="прил8 2021-2022" sheetId="32" state="hidden" r:id="rId31"/>
    <sheet name="прил 10 2021-2023.." sheetId="29" state="hidden" r:id="rId32"/>
    <sheet name="прил 6 2019-2021. (2)" sheetId="18" state="hidden" r:id="rId33"/>
  </sheets>
  <definedNames>
    <definedName name="_xlnm._FilterDatabase" localSheetId="14" hidden="1">'прил 10 2018-19'!$A$20:$V$316</definedName>
    <definedName name="_xlnm._FilterDatabase" localSheetId="25" hidden="1">'прил 10 2020-2022'!#REF!</definedName>
    <definedName name="_xlnm._FilterDatabase" localSheetId="7" hidden="1">'прил 5 2019-2021 '!$A$189:$IV$299</definedName>
    <definedName name="_xlnm._FilterDatabase" localSheetId="6" hidden="1">'прил 5 2020-2022'!$A$189:$IV$305</definedName>
    <definedName name="_xlnm._FilterDatabase" localSheetId="5" hidden="1">'прил 5 2021-2023'!$A$195:$IV$350</definedName>
    <definedName name="_xlnm._FilterDatabase" localSheetId="11" hidden="1">'прил 6 2019-2021'!$A$17:$T$361</definedName>
    <definedName name="_xlnm._FilterDatabase" localSheetId="16" hidden="1">'прил 6 2019-2021.'!$A$17:$T$361</definedName>
    <definedName name="_xlnm._FilterDatabase" localSheetId="32" hidden="1">'прил 6 2019-2021. (2)'!$A$17:$T$361</definedName>
    <definedName name="_xlnm._FilterDatabase" localSheetId="9" hidden="1">'прил 6 2020 2021'!$A$189:$IW$189</definedName>
    <definedName name="_xlnm._FilterDatabase" localSheetId="15" hidden="1">'прил 6 2020-2022'!$A$21:$AH$21</definedName>
    <definedName name="_xlnm._FilterDatabase" localSheetId="21" hidden="1">'прил 6 2020-2022.'!$A$55:$AA$55</definedName>
    <definedName name="_xlnm._FilterDatabase" localSheetId="17" hidden="1">'прил 6 2021-2023'!$A$61:$AA$61</definedName>
    <definedName name="_xlnm._FilterDatabase" localSheetId="8" hidden="1">'прил 7 2017 '!$A$188:$WWF$188</definedName>
    <definedName name="_xlnm._FilterDatabase" localSheetId="10" hidden="1">'прил 8 2018 2019'!$A$189:$IW$189</definedName>
    <definedName name="_xlnm._FilterDatabase" localSheetId="13" hidden="1">'прил 8 2020-21'!$A$20:$V$323</definedName>
    <definedName name="_xlnm._FilterDatabase" localSheetId="12" hidden="1">'прил 9 2017 '!$A$17:$T$327</definedName>
    <definedName name="_xlnm.Print_Area" localSheetId="14">'прил 10 2018-19'!$A$1:$L$316</definedName>
    <definedName name="_xlnm.Print_Area" localSheetId="25">'прил 10 2020-2022'!$A$17:$M$218</definedName>
    <definedName name="_xlnm.Print_Area" localSheetId="24">'прил 13 '!$A$1:$D$26</definedName>
    <definedName name="_xlnm.Print_Area" localSheetId="7">'прил 5 2019-2021 '!$A$1:$R$545</definedName>
    <definedName name="_xlnm.Print_Area" localSheetId="6">'прил 5 2020-2022'!$A$1:$R$586</definedName>
    <definedName name="_xlnm.Print_Area" localSheetId="5">'прил 5 2021-2023'!$A$1:$W$734</definedName>
    <definedName name="_xlnm.Print_Area" localSheetId="11">'прил 6 2019-2021'!$A$1:$Y$382</definedName>
    <definedName name="_xlnm.Print_Area" localSheetId="16">'прил 6 2019-2021.'!$A$1:$U$382</definedName>
    <definedName name="_xlnm.Print_Area" localSheetId="32">'прил 6 2019-2021. (2)'!$A$1:$U$382</definedName>
    <definedName name="_xlnm.Print_Area" localSheetId="9">'прил 6 2020 2021'!$A$1:$P$498</definedName>
    <definedName name="_xlnm.Print_Area" localSheetId="15">'прил 6 2020-2022'!$A$1:$U$442</definedName>
    <definedName name="_xlnm.Print_Area" localSheetId="21">'прил 6 2020-2022.'!$A$1:$U$507</definedName>
    <definedName name="_xlnm.Print_Area" localSheetId="17">'прил 6 2021-2023'!$A$1:$U$590</definedName>
    <definedName name="_xlnm.Print_Area" localSheetId="8">'прил 7 2017 '!$A$1:$O$517</definedName>
    <definedName name="_xlnm.Print_Area" localSheetId="22">'прил 7 2020-2022'!$A$1:$K$30</definedName>
    <definedName name="_xlnm.Print_Area" localSheetId="27">'прил 7 2020-2022.'!$A$1:$K$30</definedName>
    <definedName name="_xlnm.Print_Area" localSheetId="29">'прил 7 2021-2023'!$A$1:$K$30</definedName>
    <definedName name="_xlnm.Print_Area" localSheetId="28">'прил 7 2021-2023.'!$A$1:$K$30</definedName>
    <definedName name="_xlnm.Print_Area" localSheetId="10">'прил 8 2018 2019'!$A$1:$P$475</definedName>
    <definedName name="_xlnm.Print_Area" localSheetId="13">'прил 8 2020-21'!$A$1:$L$331</definedName>
    <definedName name="_xlnm.Print_Area" localSheetId="12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4">'прил2 дох 2021-2023'!$A$1:$W$132</definedName>
    <definedName name="_xlnm.Print_Area" localSheetId="2">'прил2 дох 2021-2023..'!$A$1:$W$132</definedName>
    <definedName name="_xlnm.Print_Area" localSheetId="1">'прил4 дох 2020 21'!$A$1:$S$116</definedName>
    <definedName name="_xlnm.Print_Area" localSheetId="18">'прил7 2021-2023'!$A$1:$K$30</definedName>
    <definedName name="_xlnm.Print_Area" localSheetId="23">'прил8 2020-2022 '!$A$1:$J$35</definedName>
    <definedName name="_xlnm.Print_Area" localSheetId="30">'прил8 2021-2022'!$A$1:$J$35</definedName>
    <definedName name="_xlnm.Print_Area" localSheetId="20">'прил8 2021-2022.'!$A$1:$J$42</definedName>
  </definedNames>
  <calcPr calcId="144525"/>
</workbook>
</file>

<file path=xl/calcChain.xml><?xml version="1.0" encoding="utf-8"?>
<calcChain xmlns="http://schemas.openxmlformats.org/spreadsheetml/2006/main">
  <c r="W568" i="22" l="1"/>
  <c r="V568" i="22"/>
  <c r="N568" i="22"/>
  <c r="W570" i="22"/>
  <c r="W569" i="22"/>
  <c r="V570" i="22"/>
  <c r="V569" i="22"/>
  <c r="N569" i="22"/>
  <c r="N570" i="22"/>
  <c r="N579" i="22"/>
  <c r="U111" i="28"/>
  <c r="N111" i="28"/>
  <c r="U112" i="28"/>
  <c r="N112" i="28"/>
  <c r="H110" i="28"/>
  <c r="H111" i="28"/>
  <c r="H112" i="28"/>
  <c r="H117" i="28"/>
  <c r="H21" i="38" l="1"/>
  <c r="I21" i="38"/>
  <c r="I20" i="38"/>
  <c r="H5" i="38"/>
  <c r="H23" i="38"/>
  <c r="H19" i="38" s="1"/>
  <c r="H25" i="38" s="1"/>
  <c r="J22" i="38"/>
  <c r="I22" i="38"/>
  <c r="J20" i="38"/>
  <c r="H20" i="38"/>
  <c r="J19" i="38"/>
  <c r="J25" i="38" s="1"/>
  <c r="I19" i="38" l="1"/>
  <c r="I25" i="38" s="1"/>
  <c r="H22" i="38"/>
  <c r="N428" i="22" l="1"/>
  <c r="N633" i="22"/>
  <c r="H385" i="28"/>
  <c r="H248" i="28"/>
  <c r="N574" i="22" l="1"/>
  <c r="H115" i="28"/>
  <c r="E66" i="37" l="1"/>
  <c r="E36" i="37" l="1"/>
  <c r="N276" i="28"/>
  <c r="N275" i="28" s="1"/>
  <c r="V341" i="22"/>
  <c r="V328" i="22" s="1"/>
  <c r="V327" i="22" s="1"/>
  <c r="N284" i="28"/>
  <c r="H163" i="28" l="1"/>
  <c r="N297" i="22"/>
  <c r="N290" i="22"/>
  <c r="H157" i="28"/>
  <c r="N599" i="22"/>
  <c r="H106" i="28"/>
  <c r="N274" i="22"/>
  <c r="H468" i="28"/>
  <c r="H69" i="28"/>
  <c r="N496" i="22"/>
  <c r="V112" i="36"/>
  <c r="N280" i="28"/>
  <c r="N277" i="28" s="1"/>
  <c r="N278" i="28"/>
  <c r="N313" i="22" l="1"/>
  <c r="H203" i="28"/>
  <c r="N203" i="28"/>
  <c r="V313" i="22"/>
  <c r="V114" i="36"/>
  <c r="G5" i="37" l="1"/>
  <c r="H5" i="28"/>
  <c r="V5" i="22"/>
  <c r="E38" i="37" l="1"/>
  <c r="E35" i="37"/>
  <c r="H200" i="28" l="1"/>
  <c r="N309" i="22"/>
  <c r="N372" i="22" l="1"/>
  <c r="H297" i="28"/>
  <c r="W465" i="22"/>
  <c r="W464" i="22" s="1"/>
  <c r="W463" i="22" s="1"/>
  <c r="V465" i="22"/>
  <c r="V464" i="22" s="1"/>
  <c r="V463" i="22" s="1"/>
  <c r="N465" i="22"/>
  <c r="N464" i="22" s="1"/>
  <c r="N463" i="22" s="1"/>
  <c r="N462" i="22"/>
  <c r="U398" i="28"/>
  <c r="U397" i="28" s="1"/>
  <c r="N398" i="28"/>
  <c r="N397" i="28" s="1"/>
  <c r="H398" i="28"/>
  <c r="H397" i="28" s="1"/>
  <c r="H396" i="28"/>
  <c r="N285" i="22"/>
  <c r="H146" i="28"/>
  <c r="U372" i="28" l="1"/>
  <c r="U325" i="28" s="1"/>
  <c r="U380" i="28"/>
  <c r="U379" i="28" s="1"/>
  <c r="U378" i="28" s="1"/>
  <c r="N380" i="28"/>
  <c r="N379" i="28" s="1"/>
  <c r="N378" i="28" s="1"/>
  <c r="H380" i="28"/>
  <c r="H379" i="28" s="1"/>
  <c r="H378" i="28" s="1"/>
  <c r="T393" i="28" l="1"/>
  <c r="S393" i="28"/>
  <c r="R393" i="28"/>
  <c r="Q393" i="28"/>
  <c r="P393" i="28"/>
  <c r="O393" i="28"/>
  <c r="U403" i="28"/>
  <c r="U402" i="28" s="1"/>
  <c r="U401" i="28" s="1"/>
  <c r="U400" i="28" s="1"/>
  <c r="N403" i="28"/>
  <c r="N402" i="28" s="1"/>
  <c r="N401" i="28" s="1"/>
  <c r="N400" i="28" s="1"/>
  <c r="H403" i="28"/>
  <c r="H402" i="28" s="1"/>
  <c r="H401" i="28" s="1"/>
  <c r="H400" i="28" s="1"/>
  <c r="W622" i="22"/>
  <c r="U242" i="28"/>
  <c r="V492" i="22"/>
  <c r="N575" i="28"/>
  <c r="V210" i="22"/>
  <c r="N513" i="28"/>
  <c r="V655" i="22"/>
  <c r="N418" i="28"/>
  <c r="N248" i="28"/>
  <c r="V633" i="22"/>
  <c r="V622" i="22"/>
  <c r="N242" i="28"/>
  <c r="N115" i="28"/>
  <c r="V574" i="22"/>
  <c r="V599" i="22"/>
  <c r="N106" i="28"/>
  <c r="V274" i="22"/>
  <c r="N468" i="28"/>
  <c r="V259" i="22"/>
  <c r="N451" i="28"/>
  <c r="N622" i="22"/>
  <c r="H242" i="28"/>
  <c r="N259" i="22"/>
  <c r="H451" i="28"/>
  <c r="H281" i="28"/>
  <c r="N337" i="22"/>
  <c r="N317" i="22"/>
  <c r="N300" i="22" s="1"/>
  <c r="H206" i="28"/>
  <c r="H441" i="28"/>
  <c r="N250" i="22"/>
  <c r="N246" i="22"/>
  <c r="H438" i="28"/>
  <c r="N581" i="22"/>
  <c r="H118" i="28"/>
  <c r="N488" i="22"/>
  <c r="H67" i="28"/>
  <c r="F64" i="37" l="1"/>
  <c r="E64" i="37"/>
  <c r="D64" i="37"/>
  <c r="F57" i="37"/>
  <c r="E57" i="37"/>
  <c r="D57" i="37"/>
  <c r="F54" i="37"/>
  <c r="D54" i="37"/>
  <c r="F51" i="37"/>
  <c r="E51" i="37"/>
  <c r="D51" i="37"/>
  <c r="F48" i="37"/>
  <c r="E48" i="37"/>
  <c r="D48" i="37"/>
  <c r="F45" i="37"/>
  <c r="E40" i="37"/>
  <c r="D39" i="37"/>
  <c r="F38" i="37"/>
  <c r="F40" i="37" s="1"/>
  <c r="D38" i="37"/>
  <c r="F37" i="37"/>
  <c r="F36" i="37"/>
  <c r="F66" i="37" s="1"/>
  <c r="E37" i="37"/>
  <c r="D35" i="37"/>
  <c r="D37" i="37" s="1"/>
  <c r="F34" i="37"/>
  <c r="E34" i="37"/>
  <c r="D34" i="37"/>
  <c r="F31" i="37"/>
  <c r="E31" i="37"/>
  <c r="D31" i="37"/>
  <c r="F28" i="37"/>
  <c r="E28" i="37"/>
  <c r="D28" i="37"/>
  <c r="F24" i="37"/>
  <c r="E23" i="37"/>
  <c r="D23" i="37"/>
  <c r="E22" i="37"/>
  <c r="D22" i="37"/>
  <c r="E24" i="37" l="1"/>
  <c r="F41" i="37"/>
  <c r="F21" i="37" s="1"/>
  <c r="D65" i="37"/>
  <c r="D24" i="37"/>
  <c r="E41" i="37"/>
  <c r="E21" i="37" s="1"/>
  <c r="E45" i="37"/>
  <c r="E65" i="37" s="1"/>
  <c r="E67" i="37" s="1"/>
  <c r="D66" i="37"/>
  <c r="D40" i="37"/>
  <c r="D41" i="37" s="1"/>
  <c r="F65" i="37"/>
  <c r="F67" i="37" s="1"/>
  <c r="D67" i="37" l="1"/>
  <c r="D21" i="37"/>
  <c r="Z137" i="36"/>
  <c r="Y137" i="36"/>
  <c r="X137" i="36"/>
  <c r="O133" i="36"/>
  <c r="P130" i="36"/>
  <c r="W126" i="36"/>
  <c r="W108" i="36" s="1"/>
  <c r="V126" i="36"/>
  <c r="K126" i="36"/>
  <c r="V125" i="36"/>
  <c r="V108" i="36" s="1"/>
  <c r="K125" i="36"/>
  <c r="W122" i="36"/>
  <c r="AC116" i="36"/>
  <c r="AB116" i="36"/>
  <c r="K115" i="36"/>
  <c r="K112" i="36"/>
  <c r="P111" i="36"/>
  <c r="P108" i="36" s="1"/>
  <c r="X108" i="36"/>
  <c r="T108" i="36"/>
  <c r="R108" i="36"/>
  <c r="L108" i="36"/>
  <c r="W104" i="36"/>
  <c r="V104" i="36"/>
  <c r="T104" i="36"/>
  <c r="R104" i="36"/>
  <c r="P104" i="36"/>
  <c r="K104" i="36"/>
  <c r="W100" i="36"/>
  <c r="V100" i="36"/>
  <c r="T100" i="36"/>
  <c r="R100" i="36"/>
  <c r="K100" i="36"/>
  <c r="P96" i="36"/>
  <c r="P91" i="36"/>
  <c r="P88" i="36" s="1"/>
  <c r="W88" i="36"/>
  <c r="V88" i="36"/>
  <c r="T88" i="36"/>
  <c r="R88" i="36"/>
  <c r="K88" i="36"/>
  <c r="P87" i="36"/>
  <c r="K87" i="36"/>
  <c r="K82" i="36" s="1"/>
  <c r="P84" i="36"/>
  <c r="W82" i="36"/>
  <c r="V82" i="36"/>
  <c r="T82" i="36"/>
  <c r="R82" i="36"/>
  <c r="N78" i="36"/>
  <c r="P78" i="36" s="1"/>
  <c r="P74" i="36"/>
  <c r="P70" i="36"/>
  <c r="P66" i="36"/>
  <c r="W63" i="36"/>
  <c r="V63" i="36"/>
  <c r="T63" i="36"/>
  <c r="R63" i="36"/>
  <c r="K63" i="36"/>
  <c r="P59" i="36"/>
  <c r="W57" i="36"/>
  <c r="V57" i="36"/>
  <c r="T57" i="36"/>
  <c r="R57" i="36"/>
  <c r="P57" i="36"/>
  <c r="K57" i="36"/>
  <c r="P56" i="36"/>
  <c r="K56" i="36"/>
  <c r="K51" i="36" s="1"/>
  <c r="P55" i="36"/>
  <c r="P54" i="36"/>
  <c r="W51" i="36"/>
  <c r="V51" i="36"/>
  <c r="T51" i="36"/>
  <c r="R51" i="36"/>
  <c r="P50" i="36"/>
  <c r="W47" i="36"/>
  <c r="V47" i="36"/>
  <c r="T47" i="36"/>
  <c r="R47" i="36"/>
  <c r="K47" i="36"/>
  <c r="P46" i="36"/>
  <c r="W44" i="36"/>
  <c r="V44" i="36"/>
  <c r="T44" i="36"/>
  <c r="R44" i="36"/>
  <c r="K44" i="36"/>
  <c r="P42" i="36"/>
  <c r="P40" i="36" s="1"/>
  <c r="W40" i="36"/>
  <c r="V40" i="36"/>
  <c r="T40" i="36"/>
  <c r="R40" i="36"/>
  <c r="K40" i="36"/>
  <c r="K108" i="36" l="1"/>
  <c r="W38" i="36"/>
  <c r="W131" i="36" s="1"/>
  <c r="P51" i="36"/>
  <c r="P47" i="36" s="1"/>
  <c r="P44" i="36" s="1"/>
  <c r="R38" i="36"/>
  <c r="R131" i="36" s="1"/>
  <c r="T38" i="36"/>
  <c r="T131" i="36" s="1"/>
  <c r="P82" i="36"/>
  <c r="N133" i="36"/>
  <c r="P133" i="36" s="1"/>
  <c r="V38" i="36"/>
  <c r="V131" i="36" s="1"/>
  <c r="P63" i="36"/>
  <c r="K38" i="36"/>
  <c r="K131" i="36" s="1"/>
  <c r="P38" i="36" l="1"/>
  <c r="P131" i="36" s="1"/>
  <c r="H330" i="28" l="1"/>
  <c r="N347" i="22"/>
  <c r="W518" i="22" l="1"/>
  <c r="W517" i="22" s="1"/>
  <c r="W516" i="22" s="1"/>
  <c r="V518" i="22"/>
  <c r="V517" i="22"/>
  <c r="V516" i="22" s="1"/>
  <c r="N518" i="22"/>
  <c r="N517" i="22" s="1"/>
  <c r="N516" i="22" s="1"/>
  <c r="H79" i="28"/>
  <c r="N492" i="22"/>
  <c r="H575" i="28" l="1"/>
  <c r="H42" i="35" l="1"/>
  <c r="J39" i="35"/>
  <c r="J36" i="35" s="1"/>
  <c r="J35" i="35" s="1"/>
  <c r="I39" i="35"/>
  <c r="I36" i="35" s="1"/>
  <c r="I35" i="35" s="1"/>
  <c r="H38" i="35"/>
  <c r="H37" i="35" s="1"/>
  <c r="H36" i="35" s="1"/>
  <c r="H35" i="35" s="1"/>
  <c r="J32" i="35"/>
  <c r="I32" i="35"/>
  <c r="J29" i="35"/>
  <c r="I29" i="35"/>
  <c r="H26" i="35"/>
  <c r="H25" i="35" s="1"/>
  <c r="H24" i="35" s="1"/>
  <c r="H23" i="35"/>
  <c r="H22" i="35" l="1"/>
  <c r="W594" i="22" l="1"/>
  <c r="V594" i="22"/>
  <c r="N594" i="22"/>
  <c r="U176" i="28" l="1"/>
  <c r="N176" i="28"/>
  <c r="W548" i="22"/>
  <c r="V548" i="22"/>
  <c r="W126" i="27"/>
  <c r="V126" i="27"/>
  <c r="I21" i="34" l="1"/>
  <c r="H23" i="34"/>
  <c r="D35" i="29" l="1"/>
  <c r="F38" i="29"/>
  <c r="F65" i="29" s="1"/>
  <c r="E35" i="29"/>
  <c r="D66" i="29"/>
  <c r="D22" i="29"/>
  <c r="D39" i="29"/>
  <c r="D38" i="29"/>
  <c r="E23" i="29"/>
  <c r="E66" i="29" s="1"/>
  <c r="E22" i="29"/>
  <c r="D23" i="29"/>
  <c r="E65" i="29" l="1"/>
  <c r="D65" i="29"/>
  <c r="D67" i="29" s="1"/>
  <c r="U267" i="28"/>
  <c r="N267" i="28"/>
  <c r="H267" i="28"/>
  <c r="N729" i="22"/>
  <c r="H273" i="28"/>
  <c r="N352" i="22"/>
  <c r="H333" i="28"/>
  <c r="H337" i="28"/>
  <c r="N357" i="22"/>
  <c r="N256" i="22"/>
  <c r="H449" i="28"/>
  <c r="N447" i="22"/>
  <c r="H390" i="28"/>
  <c r="H191" i="28"/>
  <c r="K56" i="27"/>
  <c r="K100" i="27"/>
  <c r="K87" i="27"/>
  <c r="V300" i="22"/>
  <c r="U202" i="28"/>
  <c r="U201" i="28" s="1"/>
  <c r="H202" i="28"/>
  <c r="H201" i="28" s="1"/>
  <c r="N191" i="28"/>
  <c r="N202" i="28"/>
  <c r="N201" i="28" s="1"/>
  <c r="W341" i="22"/>
  <c r="U284" i="28"/>
  <c r="N341" i="22"/>
  <c r="H284" i="28"/>
  <c r="H276" i="28" s="1"/>
  <c r="N548" i="22"/>
  <c r="H176" i="28"/>
  <c r="K126" i="27"/>
  <c r="V112" i="27"/>
  <c r="K112" i="27"/>
  <c r="K115" i="27"/>
  <c r="E5" i="29" l="1"/>
  <c r="H5" i="34"/>
  <c r="J19" i="34" l="1"/>
  <c r="J25" i="34" s="1"/>
  <c r="J20" i="34"/>
  <c r="J22" i="34"/>
  <c r="I22" i="34"/>
  <c r="H22" i="34"/>
  <c r="H20" i="34"/>
  <c r="I20" i="34"/>
  <c r="I19" i="34"/>
  <c r="I25" i="34" s="1"/>
  <c r="H19" i="34" l="1"/>
  <c r="H25" i="34" s="1"/>
  <c r="X108" i="27"/>
  <c r="T424" i="28"/>
  <c r="S424" i="28"/>
  <c r="R424" i="28"/>
  <c r="Q424" i="28"/>
  <c r="P424" i="28"/>
  <c r="O424" i="28"/>
  <c r="U430" i="28" l="1"/>
  <c r="T430" i="28"/>
  <c r="S430" i="28"/>
  <c r="R430" i="28"/>
  <c r="Q430" i="28"/>
  <c r="P430" i="28"/>
  <c r="O430" i="28"/>
  <c r="N430" i="28"/>
  <c r="H430" i="28"/>
  <c r="U437" i="28"/>
  <c r="U436" i="28" s="1"/>
  <c r="U435" i="28"/>
  <c r="N437" i="28"/>
  <c r="N436" i="28" s="1"/>
  <c r="N435" i="28"/>
  <c r="H435" i="28"/>
  <c r="H437" i="28"/>
  <c r="H436" i="28" s="1"/>
  <c r="U440" i="28"/>
  <c r="U439" i="28" s="1"/>
  <c r="N440" i="28"/>
  <c r="N439" i="28" s="1"/>
  <c r="H440" i="28"/>
  <c r="H439" i="28" s="1"/>
  <c r="N229" i="22"/>
  <c r="W251" i="22"/>
  <c r="V251" i="22"/>
  <c r="N251" i="22"/>
  <c r="W242" i="22"/>
  <c r="V242" i="22"/>
  <c r="N242" i="22"/>
  <c r="W245" i="22"/>
  <c r="W244" i="22" s="1"/>
  <c r="W243" i="22" s="1"/>
  <c r="V245" i="22"/>
  <c r="V244" i="22" s="1"/>
  <c r="V243" i="22" s="1"/>
  <c r="N245" i="22"/>
  <c r="N244" i="22" s="1"/>
  <c r="N243" i="22" s="1"/>
  <c r="W249" i="22"/>
  <c r="W248" i="22" s="1"/>
  <c r="W247" i="22" s="1"/>
  <c r="V249" i="22"/>
  <c r="V248" i="22" s="1"/>
  <c r="V247" i="22" s="1"/>
  <c r="N249" i="22"/>
  <c r="N248" i="22" s="1"/>
  <c r="N247" i="22" s="1"/>
  <c r="W699" i="22" l="1"/>
  <c r="V702" i="22"/>
  <c r="N136" i="28"/>
  <c r="N702" i="22"/>
  <c r="H136" i="28"/>
  <c r="H21" i="31"/>
  <c r="N705" i="22"/>
  <c r="H138" i="28"/>
  <c r="V125" i="27"/>
  <c r="V108" i="27" s="1"/>
  <c r="K125" i="27"/>
  <c r="K108" i="27" s="1"/>
  <c r="T143" i="28" l="1"/>
  <c r="S143" i="28"/>
  <c r="R143" i="28"/>
  <c r="Q143" i="28"/>
  <c r="P143" i="28"/>
  <c r="O143" i="28"/>
  <c r="U142" i="28"/>
  <c r="T142" i="28"/>
  <c r="T141" i="28" s="1"/>
  <c r="S142" i="28"/>
  <c r="S141" i="28" s="1"/>
  <c r="R142" i="28"/>
  <c r="R141" i="28" s="1"/>
  <c r="Q142" i="28"/>
  <c r="Q141" i="28" s="1"/>
  <c r="P142" i="28"/>
  <c r="P141" i="28" s="1"/>
  <c r="O142" i="28"/>
  <c r="O141" i="28" s="1"/>
  <c r="N142" i="28"/>
  <c r="H142" i="28"/>
  <c r="W633" i="22"/>
  <c r="U248" i="28"/>
  <c r="N515" i="22"/>
  <c r="H77" i="28"/>
  <c r="I19" i="31" l="1"/>
  <c r="H19" i="31"/>
  <c r="I20" i="31"/>
  <c r="H20" i="31"/>
  <c r="W326" i="22" l="1"/>
  <c r="W196" i="22" s="1"/>
  <c r="U213" i="28"/>
  <c r="U191" i="28" s="1"/>
  <c r="W617" i="22" l="1"/>
  <c r="W616" i="22" s="1"/>
  <c r="W615" i="22" s="1"/>
  <c r="V617" i="22"/>
  <c r="V616" i="22" s="1"/>
  <c r="V615" i="22" s="1"/>
  <c r="N500" i="22"/>
  <c r="U365" i="28"/>
  <c r="U364" i="28" s="1"/>
  <c r="U363" i="28" s="1"/>
  <c r="U362" i="28" s="1"/>
  <c r="H365" i="28"/>
  <c r="H364" i="28" s="1"/>
  <c r="H363" i="28" s="1"/>
  <c r="H362" i="28" s="1"/>
  <c r="N365" i="28"/>
  <c r="N364" i="28" s="1"/>
  <c r="N363" i="28" s="1"/>
  <c r="N362" i="28" s="1"/>
  <c r="T568" i="28"/>
  <c r="S568" i="28"/>
  <c r="R568" i="28"/>
  <c r="Q568" i="28"/>
  <c r="P568" i="28"/>
  <c r="O568" i="28"/>
  <c r="U572" i="28"/>
  <c r="T572" i="28"/>
  <c r="S572" i="28"/>
  <c r="R572" i="28"/>
  <c r="Q572" i="28"/>
  <c r="P572" i="28"/>
  <c r="O572" i="28"/>
  <c r="N572" i="28"/>
  <c r="H577" i="28"/>
  <c r="H91" i="28"/>
  <c r="U68" i="28"/>
  <c r="N68" i="28"/>
  <c r="H68" i="28"/>
  <c r="U412" i="28"/>
  <c r="U411" i="28" s="1"/>
  <c r="N412" i="28"/>
  <c r="N411" i="28" s="1"/>
  <c r="H293" i="28"/>
  <c r="H156" i="28"/>
  <c r="N156" i="28"/>
  <c r="U156" i="28"/>
  <c r="T151" i="28" l="1"/>
  <c r="T139" i="28" s="1"/>
  <c r="S151" i="28"/>
  <c r="S139" i="28" s="1"/>
  <c r="O151" i="28"/>
  <c r="O139" i="28" s="1"/>
  <c r="R151" i="28"/>
  <c r="R139" i="28" s="1"/>
  <c r="P151" i="28"/>
  <c r="P139" i="28" s="1"/>
  <c r="Q151" i="28"/>
  <c r="Q139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L108" i="27" l="1"/>
  <c r="W57" i="27"/>
  <c r="V57" i="27"/>
  <c r="V40" i="27"/>
  <c r="N655" i="22" l="1"/>
  <c r="N587" i="22" s="1"/>
  <c r="H418" i="28"/>
  <c r="H316" i="28" l="1"/>
  <c r="W724" i="22" l="1"/>
  <c r="W723" i="22" s="1"/>
  <c r="V724" i="22"/>
  <c r="V723" i="22" s="1"/>
  <c r="N724" i="22"/>
  <c r="N723" i="22" s="1"/>
  <c r="U323" i="28"/>
  <c r="N323" i="28"/>
  <c r="H323" i="28"/>
  <c r="W721" i="22"/>
  <c r="W720" i="22" s="1"/>
  <c r="W719" i="22" s="1"/>
  <c r="V721" i="22"/>
  <c r="V720" i="22" s="1"/>
  <c r="V719" i="22" s="1"/>
  <c r="W587" i="22"/>
  <c r="V587" i="22"/>
  <c r="N721" i="22"/>
  <c r="N720" i="22" s="1"/>
  <c r="N719" i="22" s="1"/>
  <c r="U316" i="28"/>
  <c r="N316" i="28"/>
  <c r="U321" i="28"/>
  <c r="U320" i="28" s="1"/>
  <c r="N321" i="28"/>
  <c r="N320" i="28" s="1"/>
  <c r="H321" i="28"/>
  <c r="H320" i="28" s="1"/>
  <c r="W717" i="22" l="1"/>
  <c r="W716" i="22" s="1"/>
  <c r="W715" i="22" s="1"/>
  <c r="V717" i="22"/>
  <c r="V716" i="22" s="1"/>
  <c r="V715" i="22" s="1"/>
  <c r="U312" i="28"/>
  <c r="U311" i="28" s="1"/>
  <c r="N312" i="28"/>
  <c r="N311" i="28" s="1"/>
  <c r="H312" i="28"/>
  <c r="F45" i="29" l="1"/>
  <c r="F57" i="29"/>
  <c r="D57" i="29"/>
  <c r="F54" i="29"/>
  <c r="D54" i="29"/>
  <c r="F51" i="29"/>
  <c r="D51" i="29"/>
  <c r="D48" i="29"/>
  <c r="F48" i="29"/>
  <c r="E48" i="29"/>
  <c r="E51" i="29"/>
  <c r="E57" i="29"/>
  <c r="E45" i="29" l="1"/>
  <c r="N717" i="22" l="1"/>
  <c r="N716" i="22" s="1"/>
  <c r="N715" i="22" s="1"/>
  <c r="H318" i="28"/>
  <c r="H317" i="28" s="1"/>
  <c r="H412" i="28"/>
  <c r="H411" i="28" s="1"/>
  <c r="N647" i="22"/>
  <c r="N646" i="22" s="1"/>
  <c r="N645" i="22" s="1"/>
  <c r="W647" i="22"/>
  <c r="W646" i="22" s="1"/>
  <c r="W645" i="22" s="1"/>
  <c r="V647" i="22"/>
  <c r="V646" i="22" s="1"/>
  <c r="V645" i="22" s="1"/>
  <c r="W358" i="22" l="1"/>
  <c r="V358" i="22"/>
  <c r="U285" i="28"/>
  <c r="N285" i="28"/>
  <c r="W500" i="22" l="1"/>
  <c r="V500" i="22"/>
  <c r="U517" i="28" l="1"/>
  <c r="N517" i="28"/>
  <c r="H517" i="28"/>
  <c r="W215" i="22"/>
  <c r="V215" i="22"/>
  <c r="U408" i="28" l="1"/>
  <c r="T408" i="28"/>
  <c r="S408" i="28"/>
  <c r="R408" i="28"/>
  <c r="Q408" i="28"/>
  <c r="P408" i="28"/>
  <c r="O408" i="28"/>
  <c r="N408" i="28"/>
  <c r="H409" i="28"/>
  <c r="H408" i="28" s="1"/>
  <c r="N617" i="22"/>
  <c r="N616" i="22" s="1"/>
  <c r="N615" i="22" s="1"/>
  <c r="H183" i="28"/>
  <c r="H182" i="28" s="1"/>
  <c r="H181" i="28" s="1"/>
  <c r="H180" i="28" s="1"/>
  <c r="H179" i="28"/>
  <c r="H178" i="28"/>
  <c r="U183" i="28"/>
  <c r="U182" i="28" s="1"/>
  <c r="U181" i="28" s="1"/>
  <c r="U180" i="28" s="1"/>
  <c r="H189" i="28"/>
  <c r="N189" i="28"/>
  <c r="U179" i="28"/>
  <c r="W461" i="22"/>
  <c r="W460" i="22" s="1"/>
  <c r="W459" i="22" s="1"/>
  <c r="N461" i="22"/>
  <c r="N460" i="22" s="1"/>
  <c r="N459" i="22" s="1"/>
  <c r="N471" i="22"/>
  <c r="N470" i="22" s="1"/>
  <c r="N469" i="22" s="1"/>
  <c r="N468" i="22" s="1"/>
  <c r="N467" i="22" s="1"/>
  <c r="V471" i="22"/>
  <c r="V470" i="22" s="1"/>
  <c r="V469" i="22" s="1"/>
  <c r="V468" i="22" s="1"/>
  <c r="V467" i="22" s="1"/>
  <c r="W471" i="22"/>
  <c r="W470" i="22" s="1"/>
  <c r="W469" i="22" s="1"/>
  <c r="W468" i="22" s="1"/>
  <c r="W467" i="22" s="1"/>
  <c r="O371" i="22"/>
  <c r="P371" i="22"/>
  <c r="Q371" i="22"/>
  <c r="R371" i="22"/>
  <c r="V371" i="22"/>
  <c r="V366" i="22" s="1"/>
  <c r="W371" i="22"/>
  <c r="W366" i="22" s="1"/>
  <c r="N183" i="28"/>
  <c r="N182" i="28" s="1"/>
  <c r="N181" i="28" s="1"/>
  <c r="N180" i="28" s="1"/>
  <c r="U377" i="28"/>
  <c r="U376" i="28" s="1"/>
  <c r="U375" i="28" s="1"/>
  <c r="U374" i="28" s="1"/>
  <c r="U373" i="28" s="1"/>
  <c r="N376" i="28"/>
  <c r="N375" i="28" s="1"/>
  <c r="N374" i="28" s="1"/>
  <c r="N373" i="28" s="1"/>
  <c r="H376" i="28"/>
  <c r="W395" i="22"/>
  <c r="W394" i="22" s="1"/>
  <c r="W393" i="22" s="1"/>
  <c r="W392" i="22"/>
  <c r="V395" i="22"/>
  <c r="V394" i="22" s="1"/>
  <c r="V393" i="22" s="1"/>
  <c r="V392" i="22"/>
  <c r="N395" i="22"/>
  <c r="N394" i="22" s="1"/>
  <c r="N393" i="22" s="1"/>
  <c r="U300" i="28"/>
  <c r="U299" i="28" s="1"/>
  <c r="U298" i="28" s="1"/>
  <c r="N300" i="28"/>
  <c r="N299" i="28" s="1"/>
  <c r="N298" i="28" s="1"/>
  <c r="N371" i="22"/>
  <c r="N458" i="22" l="1"/>
  <c r="N457" i="22" s="1"/>
  <c r="N456" i="22" s="1"/>
  <c r="W458" i="22"/>
  <c r="W457" i="22" s="1"/>
  <c r="N187" i="28"/>
  <c r="N186" i="28" s="1"/>
  <c r="N185" i="28" s="1"/>
  <c r="N188" i="28"/>
  <c r="H187" i="28"/>
  <c r="H186" i="28" s="1"/>
  <c r="H185" i="28" s="1"/>
  <c r="H188" i="28"/>
  <c r="U178" i="28"/>
  <c r="W456" i="22"/>
  <c r="V461" i="22"/>
  <c r="V460" i="22" s="1"/>
  <c r="V459" i="22" s="1"/>
  <c r="V456" i="22"/>
  <c r="U189" i="28"/>
  <c r="N178" i="28"/>
  <c r="N179" i="28"/>
  <c r="N392" i="22"/>
  <c r="V458" i="22" l="1"/>
  <c r="V457" i="22" s="1"/>
  <c r="U187" i="28"/>
  <c r="U186" i="28" s="1"/>
  <c r="U185" i="28" s="1"/>
  <c r="U188" i="28"/>
  <c r="W122" i="27"/>
  <c r="W108" i="27" s="1"/>
  <c r="V422" i="22" l="1"/>
  <c r="W356" i="22"/>
  <c r="W355" i="22" s="1"/>
  <c r="V356" i="22"/>
  <c r="V354" i="22" s="1"/>
  <c r="V353" i="22" s="1"/>
  <c r="W336" i="22"/>
  <c r="W335" i="22" s="1"/>
  <c r="W334" i="22" s="1"/>
  <c r="V336" i="22"/>
  <c r="V335" i="22" s="1"/>
  <c r="V334" i="22" s="1"/>
  <c r="W354" i="22" l="1"/>
  <c r="W353" i="22" s="1"/>
  <c r="V355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20" i="22" l="1"/>
  <c r="V419" i="22" s="1"/>
  <c r="V410" i="22" l="1"/>
  <c r="V409" i="22" s="1"/>
  <c r="V408" i="22" s="1"/>
  <c r="V407" i="22" s="1"/>
  <c r="V406" i="22" s="1"/>
  <c r="N411" i="22"/>
  <c r="N410" i="22" s="1"/>
  <c r="N409" i="22" s="1"/>
  <c r="N408" i="22" s="1"/>
  <c r="N407" i="22" s="1"/>
  <c r="N406" i="22" s="1"/>
  <c r="W410" i="22" l="1"/>
  <c r="W409" i="22" s="1"/>
  <c r="W408" i="22" s="1"/>
  <c r="W407" i="22" s="1"/>
  <c r="W406" i="22" s="1"/>
  <c r="N405" i="22"/>
  <c r="V405" i="22"/>
  <c r="W405" i="22" l="1"/>
  <c r="W44" i="27" l="1"/>
  <c r="V454" i="22"/>
  <c r="V453" i="22" s="1"/>
  <c r="F37" i="29" l="1"/>
  <c r="E37" i="29"/>
  <c r="F64" i="29" l="1"/>
  <c r="E64" i="29"/>
  <c r="D64" i="29"/>
  <c r="F40" i="29"/>
  <c r="F41" i="29" s="1"/>
  <c r="E40" i="29"/>
  <c r="E41" i="29" s="1"/>
  <c r="D40" i="29"/>
  <c r="F36" i="29"/>
  <c r="F66" i="29" s="1"/>
  <c r="D37" i="29"/>
  <c r="D41" i="29" s="1"/>
  <c r="F34" i="29"/>
  <c r="E34" i="29"/>
  <c r="D34" i="29"/>
  <c r="F31" i="29"/>
  <c r="E31" i="29"/>
  <c r="D31" i="29"/>
  <c r="F28" i="29"/>
  <c r="E28" i="29"/>
  <c r="D28" i="29"/>
  <c r="E67" i="29"/>
  <c r="F24" i="29"/>
  <c r="D24" i="29"/>
  <c r="D21" i="29" l="1"/>
  <c r="F21" i="29"/>
  <c r="E24" i="29"/>
  <c r="F67" i="29" l="1"/>
  <c r="E21" i="29"/>
  <c r="H375" i="28"/>
  <c r="H374" i="28" s="1"/>
  <c r="W422" i="22"/>
  <c r="W421" i="22" s="1"/>
  <c r="W420" i="22" s="1"/>
  <c r="W419" i="22" s="1"/>
  <c r="N483" i="22"/>
  <c r="J22" i="16" l="1"/>
  <c r="I22" i="16"/>
  <c r="H22" i="16"/>
  <c r="D37" i="26" l="1"/>
  <c r="D21" i="26"/>
  <c r="T414" i="28" l="1"/>
  <c r="S414" i="28"/>
  <c r="R414" i="28"/>
  <c r="Q414" i="28"/>
  <c r="P414" i="28"/>
  <c r="O414" i="28"/>
  <c r="N414" i="28"/>
  <c r="N407" i="28" s="1"/>
  <c r="H414" i="28"/>
  <c r="U415" i="28"/>
  <c r="T415" i="28"/>
  <c r="S415" i="28"/>
  <c r="R415" i="28"/>
  <c r="Q415" i="28"/>
  <c r="P415" i="28"/>
  <c r="O415" i="28"/>
  <c r="N415" i="28"/>
  <c r="H415" i="28"/>
  <c r="W651" i="22"/>
  <c r="W650" i="22" s="1"/>
  <c r="V651" i="22"/>
  <c r="V650" i="22" s="1"/>
  <c r="N651" i="22"/>
  <c r="N650" i="22" s="1"/>
  <c r="N654" i="22"/>
  <c r="N649" i="22" s="1"/>
  <c r="D39" i="26" l="1"/>
  <c r="H280" i="28" l="1"/>
  <c r="H277" i="28" s="1"/>
  <c r="N327" i="22"/>
  <c r="N336" i="22"/>
  <c r="N335" i="22" s="1"/>
  <c r="N334" i="22" s="1"/>
  <c r="N422" i="22"/>
  <c r="N421" i="22" s="1"/>
  <c r="N420" i="22" s="1"/>
  <c r="N419" i="22" s="1"/>
  <c r="N454" i="22"/>
  <c r="N356" i="22"/>
  <c r="N355" i="22" s="1"/>
  <c r="U587" i="28" l="1"/>
  <c r="U586" i="28" s="1"/>
  <c r="U585" i="28" s="1"/>
  <c r="U584" i="28" s="1"/>
  <c r="U583" i="28" s="1"/>
  <c r="U582" i="28" s="1"/>
  <c r="U581" i="28"/>
  <c r="N587" i="28"/>
  <c r="N586" i="28" s="1"/>
  <c r="N585" i="28" s="1"/>
  <c r="N584" i="28" s="1"/>
  <c r="N583" i="28" s="1"/>
  <c r="N582" i="28" s="1"/>
  <c r="N581" i="28"/>
  <c r="H587" i="28"/>
  <c r="H586" i="28" s="1"/>
  <c r="H585" i="28" s="1"/>
  <c r="H584" i="28" s="1"/>
  <c r="H583" i="28" s="1"/>
  <c r="H582" i="28" s="1"/>
  <c r="I586" i="28"/>
  <c r="I585" i="28" s="1"/>
  <c r="I584" i="28" s="1"/>
  <c r="I583" i="28" s="1"/>
  <c r="I582" i="28" s="1"/>
  <c r="I581" i="28" s="1"/>
  <c r="J586" i="28"/>
  <c r="J585" i="28" s="1"/>
  <c r="J584" i="28" s="1"/>
  <c r="J583" i="28" s="1"/>
  <c r="J582" i="28" s="1"/>
  <c r="J581" i="28" s="1"/>
  <c r="H581" i="28"/>
  <c r="N580" i="28" l="1"/>
  <c r="U580" i="28"/>
  <c r="H580" i="28"/>
  <c r="K588" i="28"/>
  <c r="L588" i="28" s="1"/>
  <c r="J580" i="28"/>
  <c r="I580" i="28"/>
  <c r="K581" i="28"/>
  <c r="H34" i="7" l="1"/>
  <c r="E38" i="26" l="1"/>
  <c r="E37" i="26"/>
  <c r="U419" i="28" l="1"/>
  <c r="N419" i="28"/>
  <c r="U577" i="28" l="1"/>
  <c r="T577" i="28"/>
  <c r="S577" i="28"/>
  <c r="R577" i="28"/>
  <c r="Q577" i="28"/>
  <c r="P577" i="28"/>
  <c r="O577" i="28"/>
  <c r="N577" i="28"/>
  <c r="M577" i="28"/>
  <c r="L577" i="28"/>
  <c r="K577" i="28"/>
  <c r="J577" i="28"/>
  <c r="I577" i="28"/>
  <c r="U574" i="28"/>
  <c r="T574" i="28"/>
  <c r="S574" i="28"/>
  <c r="R574" i="28"/>
  <c r="Q574" i="28"/>
  <c r="P574" i="28"/>
  <c r="O574" i="28"/>
  <c r="N574" i="28"/>
  <c r="M574" i="28"/>
  <c r="L574" i="28"/>
  <c r="K574" i="28"/>
  <c r="J574" i="28"/>
  <c r="I574" i="28"/>
  <c r="H574" i="28"/>
  <c r="M572" i="28"/>
  <c r="L572" i="28"/>
  <c r="K572" i="28"/>
  <c r="J572" i="28"/>
  <c r="I572" i="28"/>
  <c r="H572" i="28"/>
  <c r="U571" i="28"/>
  <c r="U570" i="28" s="1"/>
  <c r="U569" i="28" s="1"/>
  <c r="N571" i="28"/>
  <c r="N570" i="28" s="1"/>
  <c r="N569" i="28" s="1"/>
  <c r="J571" i="28"/>
  <c r="J570" i="28" s="1"/>
  <c r="J569" i="28" s="1"/>
  <c r="J568" i="28" s="1"/>
  <c r="J567" i="28" s="1"/>
  <c r="I571" i="28"/>
  <c r="I570" i="28" s="1"/>
  <c r="I569" i="28" s="1"/>
  <c r="I568" i="28" s="1"/>
  <c r="I567" i="28" s="1"/>
  <c r="U565" i="28"/>
  <c r="T565" i="28"/>
  <c r="S565" i="28"/>
  <c r="R565" i="28"/>
  <c r="Q565" i="28"/>
  <c r="P565" i="28"/>
  <c r="O565" i="28"/>
  <c r="N565" i="28"/>
  <c r="M565" i="28"/>
  <c r="L565" i="28"/>
  <c r="K565" i="28"/>
  <c r="J565" i="28"/>
  <c r="I565" i="28"/>
  <c r="H565" i="28"/>
  <c r="U564" i="28"/>
  <c r="U563" i="28" s="1"/>
  <c r="U562" i="28" s="1"/>
  <c r="U561" i="28" s="1"/>
  <c r="U560" i="28" s="1"/>
  <c r="N564" i="28"/>
  <c r="N563" i="28" s="1"/>
  <c r="N562" i="28" s="1"/>
  <c r="N561" i="28" s="1"/>
  <c r="N560" i="28" s="1"/>
  <c r="H564" i="28"/>
  <c r="H563" i="28" s="1"/>
  <c r="H562" i="28" s="1"/>
  <c r="H561" i="28" s="1"/>
  <c r="H560" i="28" s="1"/>
  <c r="K560" i="28"/>
  <c r="L560" i="28" s="1"/>
  <c r="J558" i="28"/>
  <c r="J557" i="28" s="1"/>
  <c r="J556" i="28" s="1"/>
  <c r="J555" i="28" s="1"/>
  <c r="J554" i="28" s="1"/>
  <c r="I558" i="28"/>
  <c r="I557" i="28" s="1"/>
  <c r="I556" i="28" s="1"/>
  <c r="I555" i="28" s="1"/>
  <c r="I554" i="28" s="1"/>
  <c r="K553" i="28"/>
  <c r="U550" i="28"/>
  <c r="U549" i="28" s="1"/>
  <c r="N550" i="28"/>
  <c r="N549" i="28" s="1"/>
  <c r="J550" i="28"/>
  <c r="J549" i="28" s="1"/>
  <c r="I550" i="28"/>
  <c r="I549" i="28" s="1"/>
  <c r="H550" i="28"/>
  <c r="H549" i="28" s="1"/>
  <c r="U544" i="28"/>
  <c r="U543" i="28" s="1"/>
  <c r="U542" i="28" s="1"/>
  <c r="U541" i="28" s="1"/>
  <c r="N544" i="28"/>
  <c r="N543" i="28" s="1"/>
  <c r="N542" i="28" s="1"/>
  <c r="N541" i="28" s="1"/>
  <c r="H544" i="28"/>
  <c r="H543" i="28" s="1"/>
  <c r="H542" i="28" s="1"/>
  <c r="H541" i="28" s="1"/>
  <c r="U539" i="28"/>
  <c r="N539" i="28"/>
  <c r="H539" i="28"/>
  <c r="U538" i="28"/>
  <c r="N538" i="28"/>
  <c r="H538" i="28"/>
  <c r="J537" i="28"/>
  <c r="J536" i="28" s="1"/>
  <c r="J535" i="28" s="1"/>
  <c r="J534" i="28" s="1"/>
  <c r="J533" i="28" s="1"/>
  <c r="I537" i="28"/>
  <c r="I536" i="28" s="1"/>
  <c r="I535" i="28" s="1"/>
  <c r="I534" i="28" s="1"/>
  <c r="I533" i="28" s="1"/>
  <c r="U528" i="28"/>
  <c r="U527" i="28" s="1"/>
  <c r="U526" i="28" s="1"/>
  <c r="N528" i="28"/>
  <c r="J528" i="28"/>
  <c r="J527" i="28" s="1"/>
  <c r="J526" i="28" s="1"/>
  <c r="I528" i="28"/>
  <c r="I527" i="28" s="1"/>
  <c r="I526" i="28" s="1"/>
  <c r="H528" i="28"/>
  <c r="H527" i="28" s="1"/>
  <c r="H526" i="28" s="1"/>
  <c r="N527" i="28"/>
  <c r="N526" i="28" s="1"/>
  <c r="U524" i="28"/>
  <c r="N524" i="28"/>
  <c r="H524" i="28"/>
  <c r="U523" i="28"/>
  <c r="U522" i="28" s="1"/>
  <c r="U521" i="28" s="1"/>
  <c r="U520" i="28" s="1"/>
  <c r="U519" i="28" s="1"/>
  <c r="N523" i="28"/>
  <c r="J523" i="28"/>
  <c r="J522" i="28" s="1"/>
  <c r="I523" i="28"/>
  <c r="I522" i="28" s="1"/>
  <c r="H523" i="28"/>
  <c r="H522" i="28" s="1"/>
  <c r="H521" i="28" s="1"/>
  <c r="H520" i="28" s="1"/>
  <c r="H519" i="28" s="1"/>
  <c r="N522" i="28"/>
  <c r="N521" i="28" s="1"/>
  <c r="N520" i="28" s="1"/>
  <c r="N519" i="28" s="1"/>
  <c r="U516" i="28"/>
  <c r="T516" i="28"/>
  <c r="S516" i="28"/>
  <c r="R516" i="28"/>
  <c r="Q516" i="28"/>
  <c r="P516" i="28"/>
  <c r="O516" i="28"/>
  <c r="N516" i="28"/>
  <c r="M516" i="28"/>
  <c r="L516" i="28"/>
  <c r="K516" i="28"/>
  <c r="J516" i="28"/>
  <c r="I516" i="28"/>
  <c r="H516" i="28"/>
  <c r="U515" i="28"/>
  <c r="U514" i="28" s="1"/>
  <c r="N515" i="28"/>
  <c r="N514" i="28" s="1"/>
  <c r="H515" i="28"/>
  <c r="H514" i="28" s="1"/>
  <c r="U512" i="28"/>
  <c r="T512" i="28"/>
  <c r="S512" i="28"/>
  <c r="R512" i="28"/>
  <c r="Q512" i="28"/>
  <c r="P512" i="28"/>
  <c r="O512" i="28"/>
  <c r="N512" i="28"/>
  <c r="M512" i="28"/>
  <c r="L512" i="28"/>
  <c r="K512" i="28"/>
  <c r="J512" i="28"/>
  <c r="I512" i="28"/>
  <c r="H512" i="28"/>
  <c r="U511" i="28"/>
  <c r="U510" i="28" s="1"/>
  <c r="U509" i="28" s="1"/>
  <c r="N511" i="28"/>
  <c r="N510" i="28" s="1"/>
  <c r="N509" i="28" s="1"/>
  <c r="J511" i="28"/>
  <c r="J510" i="28" s="1"/>
  <c r="I511" i="28"/>
  <c r="I510" i="28" s="1"/>
  <c r="H511" i="28"/>
  <c r="H510" i="28" s="1"/>
  <c r="H509" i="28" s="1"/>
  <c r="U507" i="28"/>
  <c r="N507" i="28"/>
  <c r="J507" i="28"/>
  <c r="I507" i="28"/>
  <c r="H507" i="28"/>
  <c r="U505" i="28"/>
  <c r="N505" i="28"/>
  <c r="J505" i="28"/>
  <c r="I505" i="28"/>
  <c r="H505" i="28"/>
  <c r="U502" i="28"/>
  <c r="U501" i="28" s="1"/>
  <c r="N502" i="28"/>
  <c r="N501" i="28" s="1"/>
  <c r="J502" i="28"/>
  <c r="J501" i="28" s="1"/>
  <c r="I502" i="28"/>
  <c r="I501" i="28" s="1"/>
  <c r="H502" i="28"/>
  <c r="H501" i="28" s="1"/>
  <c r="U494" i="28"/>
  <c r="U493" i="28" s="1"/>
  <c r="U492" i="28" s="1"/>
  <c r="U491" i="28" s="1"/>
  <c r="U490" i="28" s="1"/>
  <c r="N494" i="28"/>
  <c r="N493" i="28" s="1"/>
  <c r="N492" i="28" s="1"/>
  <c r="N491" i="28" s="1"/>
  <c r="N490" i="28" s="1"/>
  <c r="J494" i="28"/>
  <c r="J493" i="28" s="1"/>
  <c r="J492" i="28" s="1"/>
  <c r="J491" i="28" s="1"/>
  <c r="J490" i="28" s="1"/>
  <c r="I494" i="28"/>
  <c r="I493" i="28" s="1"/>
  <c r="I492" i="28" s="1"/>
  <c r="I491" i="28" s="1"/>
  <c r="I490" i="28" s="1"/>
  <c r="H494" i="28"/>
  <c r="H493" i="28" s="1"/>
  <c r="H492" i="28" s="1"/>
  <c r="H491" i="28" s="1"/>
  <c r="H490" i="28" s="1"/>
  <c r="U486" i="28"/>
  <c r="U485" i="28" s="1"/>
  <c r="U484" i="28" s="1"/>
  <c r="N486" i="28"/>
  <c r="N485" i="28" s="1"/>
  <c r="N484" i="28" s="1"/>
  <c r="H486" i="28"/>
  <c r="H485" i="28" s="1"/>
  <c r="H484" i="28" s="1"/>
  <c r="U482" i="28"/>
  <c r="U481" i="28" s="1"/>
  <c r="U480" i="28" s="1"/>
  <c r="N482" i="28"/>
  <c r="N481" i="28" s="1"/>
  <c r="N480" i="28" s="1"/>
  <c r="J482" i="28"/>
  <c r="J481" i="28" s="1"/>
  <c r="J480" i="28" s="1"/>
  <c r="J479" i="28" s="1"/>
  <c r="J478" i="28" s="1"/>
  <c r="I482" i="28"/>
  <c r="I481" i="28" s="1"/>
  <c r="I480" i="28" s="1"/>
  <c r="I479" i="28" s="1"/>
  <c r="I478" i="28" s="1"/>
  <c r="H482" i="28"/>
  <c r="H481" i="28" s="1"/>
  <c r="H480" i="28" s="1"/>
  <c r="U476" i="28"/>
  <c r="T476" i="28"/>
  <c r="S476" i="28"/>
  <c r="R476" i="28"/>
  <c r="Q476" i="28"/>
  <c r="P476" i="28"/>
  <c r="O476" i="28"/>
  <c r="N476" i="28"/>
  <c r="M476" i="28"/>
  <c r="L476" i="28"/>
  <c r="K476" i="28"/>
  <c r="J476" i="28"/>
  <c r="I476" i="28"/>
  <c r="H476" i="28"/>
  <c r="U475" i="28"/>
  <c r="U474" i="28" s="1"/>
  <c r="U473" i="28" s="1"/>
  <c r="U472" i="28" s="1"/>
  <c r="U471" i="28" s="1"/>
  <c r="N475" i="28"/>
  <c r="J475" i="28"/>
  <c r="J474" i="28" s="1"/>
  <c r="J473" i="28" s="1"/>
  <c r="J472" i="28" s="1"/>
  <c r="J471" i="28" s="1"/>
  <c r="I475" i="28"/>
  <c r="I474" i="28" s="1"/>
  <c r="I473" i="28" s="1"/>
  <c r="I472" i="28" s="1"/>
  <c r="I471" i="28" s="1"/>
  <c r="H475" i="28"/>
  <c r="H474" i="28" s="1"/>
  <c r="H473" i="28" s="1"/>
  <c r="H472" i="28" s="1"/>
  <c r="H471" i="28" s="1"/>
  <c r="N474" i="28"/>
  <c r="N473" i="28" s="1"/>
  <c r="N472" i="28" s="1"/>
  <c r="N471" i="28" s="1"/>
  <c r="U467" i="28"/>
  <c r="T467" i="28"/>
  <c r="S467" i="28"/>
  <c r="R467" i="28"/>
  <c r="Q467" i="28"/>
  <c r="P467" i="28"/>
  <c r="O467" i="28"/>
  <c r="N467" i="28"/>
  <c r="M467" i="28"/>
  <c r="L467" i="28"/>
  <c r="K467" i="28"/>
  <c r="J467" i="28"/>
  <c r="I467" i="28"/>
  <c r="H467" i="28"/>
  <c r="U466" i="28"/>
  <c r="U465" i="28" s="1"/>
  <c r="U464" i="28" s="1"/>
  <c r="U463" i="28" s="1"/>
  <c r="U462" i="28" s="1"/>
  <c r="N466" i="28"/>
  <c r="N465" i="28" s="1"/>
  <c r="N464" i="28" s="1"/>
  <c r="N463" i="28" s="1"/>
  <c r="N462" i="28" s="1"/>
  <c r="H466" i="28"/>
  <c r="H465" i="28" s="1"/>
  <c r="H464" i="28" s="1"/>
  <c r="H463" i="28" s="1"/>
  <c r="H462" i="28" s="1"/>
  <c r="J465" i="28"/>
  <c r="J464" i="28" s="1"/>
  <c r="I465" i="28"/>
  <c r="I464" i="28" s="1"/>
  <c r="J462" i="28"/>
  <c r="J458" i="28" s="1"/>
  <c r="I462" i="28"/>
  <c r="I458" i="28" s="1"/>
  <c r="Z461" i="28"/>
  <c r="U460" i="28"/>
  <c r="T460" i="28"/>
  <c r="S460" i="28"/>
  <c r="R460" i="28"/>
  <c r="Q460" i="28"/>
  <c r="P460" i="28"/>
  <c r="O460" i="28"/>
  <c r="M460" i="28"/>
  <c r="L460" i="28"/>
  <c r="K460" i="28"/>
  <c r="J460" i="28"/>
  <c r="I460" i="28"/>
  <c r="H460" i="28"/>
  <c r="U459" i="28"/>
  <c r="H459" i="28"/>
  <c r="U457" i="28"/>
  <c r="N457" i="28"/>
  <c r="H457" i="28"/>
  <c r="U455" i="28"/>
  <c r="U454" i="28" s="1"/>
  <c r="N455" i="28"/>
  <c r="N454" i="28" s="1"/>
  <c r="J455" i="28"/>
  <c r="I455" i="28"/>
  <c r="H455" i="28"/>
  <c r="H454" i="28" s="1"/>
  <c r="U452" i="28"/>
  <c r="T452" i="28"/>
  <c r="S452" i="28"/>
  <c r="R452" i="28"/>
  <c r="Q452" i="28"/>
  <c r="P452" i="28"/>
  <c r="O452" i="28"/>
  <c r="N452" i="28"/>
  <c r="M452" i="28"/>
  <c r="L452" i="28"/>
  <c r="K452" i="28"/>
  <c r="J452" i="28"/>
  <c r="I452" i="28"/>
  <c r="H452" i="28"/>
  <c r="Z451" i="28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8" i="28"/>
  <c r="T448" i="28"/>
  <c r="S448" i="28"/>
  <c r="R448" i="28"/>
  <c r="Q448" i="28"/>
  <c r="P448" i="28"/>
  <c r="O448" i="28"/>
  <c r="N448" i="28"/>
  <c r="M448" i="28"/>
  <c r="L448" i="28"/>
  <c r="K448" i="28"/>
  <c r="J448" i="28"/>
  <c r="I448" i="28"/>
  <c r="H448" i="28"/>
  <c r="N447" i="28"/>
  <c r="J447" i="28"/>
  <c r="J446" i="28" s="1"/>
  <c r="J445" i="28" s="1"/>
  <c r="J444" i="28" s="1"/>
  <c r="I447" i="28"/>
  <c r="I446" i="28" s="1"/>
  <c r="I445" i="28" s="1"/>
  <c r="I444" i="28" s="1"/>
  <c r="H447" i="28"/>
  <c r="H446" i="28"/>
  <c r="H445" i="28" s="1"/>
  <c r="H444" i="28" s="1"/>
  <c r="K44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2" i="28"/>
  <c r="N432" i="28"/>
  <c r="J432" i="28"/>
  <c r="J428" i="28" s="1"/>
  <c r="I432" i="28"/>
  <c r="I428" i="28" s="1"/>
  <c r="H432" i="28"/>
  <c r="U429" i="28"/>
  <c r="N429" i="28"/>
  <c r="H429" i="28"/>
  <c r="U426" i="28"/>
  <c r="U425" i="28" s="1"/>
  <c r="N426" i="28"/>
  <c r="N425" i="28" s="1"/>
  <c r="J426" i="28"/>
  <c r="J425" i="28" s="1"/>
  <c r="I426" i="28"/>
  <c r="I425" i="28" s="1"/>
  <c r="H426" i="28"/>
  <c r="H425" i="28" s="1"/>
  <c r="H419" i="28"/>
  <c r="H407" i="28" s="1"/>
  <c r="U417" i="28"/>
  <c r="T417" i="28"/>
  <c r="S417" i="28"/>
  <c r="R417" i="28"/>
  <c r="Q417" i="28"/>
  <c r="P417" i="28"/>
  <c r="O417" i="28"/>
  <c r="N417" i="28"/>
  <c r="M417" i="28"/>
  <c r="L417" i="28"/>
  <c r="K417" i="28"/>
  <c r="J417" i="28"/>
  <c r="I417" i="28"/>
  <c r="H417" i="28"/>
  <c r="N406" i="28"/>
  <c r="N405" i="28" s="1"/>
  <c r="U395" i="28"/>
  <c r="T395" i="28"/>
  <c r="S395" i="28"/>
  <c r="R395" i="28"/>
  <c r="Q395" i="28"/>
  <c r="P395" i="28"/>
  <c r="O395" i="28"/>
  <c r="N395" i="28"/>
  <c r="M395" i="28"/>
  <c r="L395" i="28"/>
  <c r="K395" i="28"/>
  <c r="J395" i="28"/>
  <c r="I395" i="28"/>
  <c r="H395" i="28"/>
  <c r="U394" i="28"/>
  <c r="U393" i="28" s="1"/>
  <c r="N394" i="28"/>
  <c r="N393" i="28" s="1"/>
  <c r="H394" i="28"/>
  <c r="H393" i="28" s="1"/>
  <c r="U389" i="28"/>
  <c r="T389" i="28"/>
  <c r="S389" i="28"/>
  <c r="R389" i="28"/>
  <c r="Q389" i="28"/>
  <c r="P389" i="28"/>
  <c r="O389" i="28"/>
  <c r="N389" i="28"/>
  <c r="M389" i="28"/>
  <c r="L389" i="28"/>
  <c r="K389" i="28"/>
  <c r="J389" i="28"/>
  <c r="I389" i="28"/>
  <c r="U388" i="28"/>
  <c r="U387" i="28" s="1"/>
  <c r="U386" i="28" s="1"/>
  <c r="N388" i="28"/>
  <c r="N387" i="28" s="1"/>
  <c r="N386" i="28" s="1"/>
  <c r="N383" i="28"/>
  <c r="N382" i="28" s="1"/>
  <c r="N372" i="28" s="1"/>
  <c r="H384" i="28"/>
  <c r="U370" i="28"/>
  <c r="N370" i="28"/>
  <c r="H370" i="28"/>
  <c r="U369" i="28"/>
  <c r="U368" i="28" s="1"/>
  <c r="U367" i="28" s="1"/>
  <c r="N369" i="28"/>
  <c r="N368" i="28" s="1"/>
  <c r="N367" i="28" s="1"/>
  <c r="H369" i="28"/>
  <c r="H368" i="28" s="1"/>
  <c r="H367" i="28" s="1"/>
  <c r="U359" i="28"/>
  <c r="U358" i="28" s="1"/>
  <c r="U357" i="28" s="1"/>
  <c r="U356" i="28" s="1"/>
  <c r="N359" i="28"/>
  <c r="N358" i="28" s="1"/>
  <c r="N357" i="28" s="1"/>
  <c r="N356" i="28" s="1"/>
  <c r="H359" i="28"/>
  <c r="H358" i="28" s="1"/>
  <c r="H357" i="28" s="1"/>
  <c r="H356" i="28" s="1"/>
  <c r="H354" i="28"/>
  <c r="H353" i="28" s="1"/>
  <c r="H352" i="28" s="1"/>
  <c r="U351" i="28"/>
  <c r="U350" i="28" s="1"/>
  <c r="N351" i="28"/>
  <c r="N350" i="28" s="1"/>
  <c r="H351" i="28"/>
  <c r="H350" i="28" s="1"/>
  <c r="J350" i="28"/>
  <c r="I350" i="28"/>
  <c r="U346" i="28"/>
  <c r="N346" i="28"/>
  <c r="J346" i="28"/>
  <c r="J345" i="28" s="1"/>
  <c r="I346" i="28"/>
  <c r="H346" i="28"/>
  <c r="U343" i="28"/>
  <c r="N343" i="28"/>
  <c r="J343" i="28"/>
  <c r="I343" i="28"/>
  <c r="H343" i="28"/>
  <c r="U341" i="28"/>
  <c r="N341" i="28"/>
  <c r="J341" i="28"/>
  <c r="I341" i="28"/>
  <c r="H341" i="28"/>
  <c r="U336" i="28"/>
  <c r="N335" i="28"/>
  <c r="J337" i="28"/>
  <c r="J336" i="28" s="1"/>
  <c r="J335" i="28" s="1"/>
  <c r="I337" i="28"/>
  <c r="I336" i="28" s="1"/>
  <c r="I335" i="28" s="1"/>
  <c r="H335" i="28"/>
  <c r="T332" i="28"/>
  <c r="S332" i="28"/>
  <c r="R332" i="28"/>
  <c r="Q332" i="28"/>
  <c r="P332" i="28"/>
  <c r="O332" i="28"/>
  <c r="N332" i="28"/>
  <c r="M332" i="28"/>
  <c r="L332" i="28"/>
  <c r="K332" i="28"/>
  <c r="J332" i="28"/>
  <c r="I332" i="28"/>
  <c r="H332" i="28"/>
  <c r="J331" i="28"/>
  <c r="I331" i="28"/>
  <c r="U329" i="28"/>
  <c r="N329" i="28"/>
  <c r="T329" i="28"/>
  <c r="S329" i="28"/>
  <c r="R329" i="28"/>
  <c r="Q329" i="28"/>
  <c r="P329" i="28"/>
  <c r="O329" i="28"/>
  <c r="M329" i="28"/>
  <c r="L329" i="28"/>
  <c r="K329" i="28"/>
  <c r="J329" i="28"/>
  <c r="I329" i="28"/>
  <c r="H329" i="28"/>
  <c r="J328" i="28"/>
  <c r="J327" i="28" s="1"/>
  <c r="J326" i="28" s="1"/>
  <c r="I328" i="28"/>
  <c r="H328" i="28"/>
  <c r="K326" i="28"/>
  <c r="U314" i="28"/>
  <c r="N314" i="28"/>
  <c r="H314" i="28"/>
  <c r="H313" i="28" s="1"/>
  <c r="H311" i="28" s="1"/>
  <c r="H306" i="28"/>
  <c r="H305" i="28"/>
  <c r="H304" i="28" s="1"/>
  <c r="H303" i="28" s="1"/>
  <c r="H302" i="28"/>
  <c r="H300" i="28" s="1"/>
  <c r="H299" i="28" s="1"/>
  <c r="H298" i="28" s="1"/>
  <c r="J301" i="28"/>
  <c r="J300" i="28" s="1"/>
  <c r="J299" i="28" s="1"/>
  <c r="J298" i="28" s="1"/>
  <c r="I301" i="28"/>
  <c r="I300" i="28" s="1"/>
  <c r="I299" i="28" s="1"/>
  <c r="I298" i="28" s="1"/>
  <c r="U296" i="28"/>
  <c r="T296" i="28"/>
  <c r="S296" i="28"/>
  <c r="R296" i="28"/>
  <c r="Q296" i="28"/>
  <c r="P296" i="28"/>
  <c r="O296" i="28"/>
  <c r="N296" i="28"/>
  <c r="M296" i="28"/>
  <c r="L296" i="28"/>
  <c r="K296" i="28"/>
  <c r="J296" i="28"/>
  <c r="I296" i="28"/>
  <c r="H296" i="28"/>
  <c r="U294" i="28"/>
  <c r="T294" i="28"/>
  <c r="S294" i="28"/>
  <c r="R294" i="28"/>
  <c r="Q294" i="28"/>
  <c r="P294" i="28"/>
  <c r="O294" i="28"/>
  <c r="N294" i="28"/>
  <c r="M294" i="28"/>
  <c r="L294" i="28"/>
  <c r="K294" i="28"/>
  <c r="J294" i="28"/>
  <c r="I294" i="28"/>
  <c r="H294" i="28"/>
  <c r="U293" i="28"/>
  <c r="U292" i="28" s="1"/>
  <c r="N293" i="28"/>
  <c r="N292" i="28" s="1"/>
  <c r="H292" i="28"/>
  <c r="U290" i="28"/>
  <c r="U287" i="28" s="1"/>
  <c r="U286" i="28" s="1"/>
  <c r="N290" i="28"/>
  <c r="N287" i="28" s="1"/>
  <c r="N286" i="28" s="1"/>
  <c r="J290" i="28"/>
  <c r="J287" i="28" s="1"/>
  <c r="J286" i="28" s="1"/>
  <c r="J285" i="28" s="1"/>
  <c r="I290" i="28"/>
  <c r="I287" i="28" s="1"/>
  <c r="I286" i="28" s="1"/>
  <c r="I285" i="28" s="1"/>
  <c r="H290" i="28"/>
  <c r="H289" i="28"/>
  <c r="H287" i="28"/>
  <c r="H286" i="28" s="1"/>
  <c r="K286" i="28"/>
  <c r="AA284" i="28"/>
  <c r="U283" i="28"/>
  <c r="N274" i="28"/>
  <c r="T283" i="28"/>
  <c r="S283" i="28"/>
  <c r="R283" i="28"/>
  <c r="Q283" i="28"/>
  <c r="P283" i="28"/>
  <c r="O283" i="28"/>
  <c r="M283" i="28"/>
  <c r="L283" i="28"/>
  <c r="K283" i="28"/>
  <c r="J283" i="28"/>
  <c r="I283" i="28"/>
  <c r="H283" i="28"/>
  <c r="H282" i="28"/>
  <c r="U278" i="28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U277" i="28"/>
  <c r="J277" i="28"/>
  <c r="J276" i="28" s="1"/>
  <c r="J275" i="28" s="1"/>
  <c r="I277" i="28"/>
  <c r="I276" i="28" s="1"/>
  <c r="I275" i="28" s="1"/>
  <c r="H275" i="28"/>
  <c r="K275" i="28"/>
  <c r="U272" i="28"/>
  <c r="T272" i="28"/>
  <c r="S272" i="28"/>
  <c r="R272" i="28"/>
  <c r="Q272" i="28"/>
  <c r="P272" i="28"/>
  <c r="O272" i="28"/>
  <c r="N272" i="28"/>
  <c r="M272" i="28"/>
  <c r="L272" i="28"/>
  <c r="K272" i="28"/>
  <c r="J272" i="28"/>
  <c r="I272" i="28"/>
  <c r="H272" i="28"/>
  <c r="U271" i="28"/>
  <c r="N271" i="28"/>
  <c r="J271" i="28"/>
  <c r="I271" i="28"/>
  <c r="H271" i="28"/>
  <c r="H269" i="28"/>
  <c r="U266" i="28"/>
  <c r="N266" i="28"/>
  <c r="J266" i="28"/>
  <c r="I266" i="28"/>
  <c r="H266" i="28"/>
  <c r="U264" i="28"/>
  <c r="N264" i="28"/>
  <c r="J264" i="28"/>
  <c r="I264" i="28"/>
  <c r="H264" i="28"/>
  <c r="H259" i="28"/>
  <c r="H258" i="28" s="1"/>
  <c r="H257" i="28" s="1"/>
  <c r="H255" i="28"/>
  <c r="H254" i="28" s="1"/>
  <c r="H253" i="28" s="1"/>
  <c r="N247" i="28"/>
  <c r="U247" i="28"/>
  <c r="T247" i="28"/>
  <c r="S247" i="28"/>
  <c r="R247" i="28"/>
  <c r="Q247" i="28"/>
  <c r="P247" i="28"/>
  <c r="O247" i="28"/>
  <c r="M247" i="28"/>
  <c r="L247" i="28"/>
  <c r="K247" i="28"/>
  <c r="J247" i="28"/>
  <c r="I247" i="28"/>
  <c r="H247" i="28"/>
  <c r="U246" i="28"/>
  <c r="J246" i="28"/>
  <c r="I246" i="28"/>
  <c r="H246" i="28"/>
  <c r="U244" i="28"/>
  <c r="T244" i="28"/>
  <c r="S244" i="28"/>
  <c r="R244" i="28"/>
  <c r="Q244" i="28"/>
  <c r="P244" i="28"/>
  <c r="O244" i="28"/>
  <c r="N244" i="28"/>
  <c r="M244" i="28"/>
  <c r="L244" i="28"/>
  <c r="K244" i="28"/>
  <c r="J244" i="28"/>
  <c r="I244" i="28"/>
  <c r="H244" i="28"/>
  <c r="U243" i="28"/>
  <c r="N243" i="28"/>
  <c r="J243" i="28"/>
  <c r="I243" i="28"/>
  <c r="H243" i="28"/>
  <c r="U241" i="28"/>
  <c r="N240" i="28"/>
  <c r="T241" i="28"/>
  <c r="S241" i="28"/>
  <c r="R241" i="28"/>
  <c r="Q241" i="28"/>
  <c r="P241" i="28"/>
  <c r="O241" i="28"/>
  <c r="M241" i="28"/>
  <c r="L241" i="28"/>
  <c r="K241" i="28"/>
  <c r="J241" i="28"/>
  <c r="I241" i="28"/>
  <c r="J240" i="28"/>
  <c r="J239" i="28" s="1"/>
  <c r="J238" i="28" s="1"/>
  <c r="J237" i="28" s="1"/>
  <c r="I240" i="28"/>
  <c r="I239" i="28" s="1"/>
  <c r="I238" i="28" s="1"/>
  <c r="I237" i="28" s="1"/>
  <c r="K239" i="28"/>
  <c r="U235" i="28"/>
  <c r="T235" i="28"/>
  <c r="S235" i="28"/>
  <c r="R235" i="28"/>
  <c r="Q235" i="28"/>
  <c r="P235" i="28"/>
  <c r="O235" i="28"/>
  <c r="N235" i="28"/>
  <c r="M235" i="28"/>
  <c r="L235" i="28"/>
  <c r="K235" i="28"/>
  <c r="J235" i="28"/>
  <c r="I235" i="28"/>
  <c r="H235" i="28"/>
  <c r="U234" i="28"/>
  <c r="U233" i="28" s="1"/>
  <c r="U232" i="28" s="1"/>
  <c r="N234" i="28"/>
  <c r="N233" i="28" s="1"/>
  <c r="N232" i="28" s="1"/>
  <c r="J234" i="28"/>
  <c r="J233" i="28" s="1"/>
  <c r="J232" i="28" s="1"/>
  <c r="I234" i="28"/>
  <c r="I233" i="28" s="1"/>
  <c r="I232" i="28" s="1"/>
  <c r="H234" i="28"/>
  <c r="H233" i="28" s="1"/>
  <c r="H232" i="28" s="1"/>
  <c r="K232" i="28"/>
  <c r="U229" i="28"/>
  <c r="U228" i="28" s="1"/>
  <c r="U227" i="28" s="1"/>
  <c r="U226" i="28" s="1"/>
  <c r="N229" i="28"/>
  <c r="N228" i="28" s="1"/>
  <c r="N227" i="28" s="1"/>
  <c r="N226" i="28" s="1"/>
  <c r="J229" i="28"/>
  <c r="J228" i="28" s="1"/>
  <c r="J227" i="28" s="1"/>
  <c r="J226" i="28" s="1"/>
  <c r="I229" i="28"/>
  <c r="I228" i="28" s="1"/>
  <c r="I227" i="28" s="1"/>
  <c r="I226" i="28" s="1"/>
  <c r="H229" i="28"/>
  <c r="H228" i="28" s="1"/>
  <c r="H227" i="28" s="1"/>
  <c r="H226" i="28" s="1"/>
  <c r="U224" i="28"/>
  <c r="N224" i="28"/>
  <c r="J224" i="28"/>
  <c r="I224" i="28"/>
  <c r="H224" i="28"/>
  <c r="U222" i="28"/>
  <c r="N222" i="28"/>
  <c r="J222" i="28"/>
  <c r="I222" i="28"/>
  <c r="H222" i="28"/>
  <c r="U220" i="28"/>
  <c r="N220" i="28"/>
  <c r="J220" i="28"/>
  <c r="I220" i="28"/>
  <c r="H220" i="28"/>
  <c r="U217" i="28"/>
  <c r="U216" i="28" s="1"/>
  <c r="N217" i="28"/>
  <c r="N216" i="28" s="1"/>
  <c r="J217" i="28"/>
  <c r="J216" i="28" s="1"/>
  <c r="I217" i="28"/>
  <c r="I216" i="28" s="1"/>
  <c r="H217" i="28"/>
  <c r="H216" i="28" s="1"/>
  <c r="U212" i="28"/>
  <c r="T212" i="28"/>
  <c r="S212" i="28"/>
  <c r="R212" i="28"/>
  <c r="Q212" i="28"/>
  <c r="P212" i="28"/>
  <c r="O212" i="28"/>
  <c r="N212" i="28"/>
  <c r="M212" i="28"/>
  <c r="L212" i="28"/>
  <c r="K212" i="28"/>
  <c r="J212" i="28"/>
  <c r="I212" i="28"/>
  <c r="N211" i="28"/>
  <c r="J211" i="28"/>
  <c r="I211" i="28"/>
  <c r="U209" i="28"/>
  <c r="N209" i="28"/>
  <c r="J209" i="28"/>
  <c r="J208" i="28" s="1"/>
  <c r="J207" i="28" s="1"/>
  <c r="I209" i="28"/>
  <c r="I208" i="28" s="1"/>
  <c r="I207" i="28" s="1"/>
  <c r="H209" i="28"/>
  <c r="N205" i="28"/>
  <c r="N204" i="28" s="1"/>
  <c r="U205" i="28"/>
  <c r="H205" i="28"/>
  <c r="H204" i="28" s="1"/>
  <c r="U204" i="28"/>
  <c r="J204" i="28"/>
  <c r="I204" i="28"/>
  <c r="H199" i="28"/>
  <c r="U199" i="28"/>
  <c r="T199" i="28"/>
  <c r="S199" i="28"/>
  <c r="R199" i="28"/>
  <c r="Q199" i="28"/>
  <c r="P199" i="28"/>
  <c r="O199" i="28"/>
  <c r="M199" i="28"/>
  <c r="L199" i="28"/>
  <c r="K199" i="28"/>
  <c r="J199" i="28"/>
  <c r="I199" i="28"/>
  <c r="U198" i="28"/>
  <c r="J198" i="28"/>
  <c r="I198" i="28"/>
  <c r="U196" i="28"/>
  <c r="T196" i="28"/>
  <c r="S196" i="28"/>
  <c r="R196" i="28"/>
  <c r="Q196" i="28"/>
  <c r="P196" i="28"/>
  <c r="O196" i="28"/>
  <c r="N196" i="28"/>
  <c r="M196" i="28"/>
  <c r="L196" i="28"/>
  <c r="K196" i="28"/>
  <c r="J196" i="28"/>
  <c r="I196" i="28"/>
  <c r="H196" i="28"/>
  <c r="U195" i="28"/>
  <c r="N195" i="28"/>
  <c r="J195" i="28"/>
  <c r="I195" i="28"/>
  <c r="H195" i="28"/>
  <c r="K193" i="28"/>
  <c r="U175" i="28"/>
  <c r="H175" i="28"/>
  <c r="T175" i="28"/>
  <c r="S175" i="28"/>
  <c r="R175" i="28"/>
  <c r="Q175" i="28"/>
  <c r="P175" i="28"/>
  <c r="O175" i="28"/>
  <c r="M175" i="28"/>
  <c r="L175" i="28"/>
  <c r="K175" i="28"/>
  <c r="J175" i="28"/>
  <c r="I175" i="28"/>
  <c r="K173" i="28"/>
  <c r="J173" i="28"/>
  <c r="J172" i="28" s="1"/>
  <c r="I173" i="28"/>
  <c r="I172" i="28" s="1"/>
  <c r="J169" i="28"/>
  <c r="I169" i="28"/>
  <c r="H167" i="28"/>
  <c r="H166" i="28" s="1"/>
  <c r="H165" i="28" s="1"/>
  <c r="H164" i="28" s="1"/>
  <c r="U162" i="28"/>
  <c r="T162" i="28"/>
  <c r="S162" i="28"/>
  <c r="R162" i="28"/>
  <c r="Q162" i="28"/>
  <c r="P162" i="28"/>
  <c r="O162" i="28"/>
  <c r="N162" i="28"/>
  <c r="M162" i="28"/>
  <c r="L162" i="28"/>
  <c r="K162" i="28"/>
  <c r="J162" i="28"/>
  <c r="I162" i="28"/>
  <c r="H162" i="28"/>
  <c r="U161" i="28"/>
  <c r="U160" i="28" s="1"/>
  <c r="U159" i="28" s="1"/>
  <c r="U141" i="28" s="1"/>
  <c r="N161" i="28"/>
  <c r="N160" i="28" s="1"/>
  <c r="N159" i="28" s="1"/>
  <c r="N141" i="28" s="1"/>
  <c r="J161" i="28"/>
  <c r="I161" i="28"/>
  <c r="H161" i="28"/>
  <c r="H160" i="28" s="1"/>
  <c r="H159" i="28" s="1"/>
  <c r="H141" i="28" s="1"/>
  <c r="T156" i="28"/>
  <c r="S156" i="28"/>
  <c r="R156" i="28"/>
  <c r="Q156" i="28"/>
  <c r="P156" i="28"/>
  <c r="O156" i="28"/>
  <c r="M156" i="28"/>
  <c r="L156" i="28"/>
  <c r="K156" i="28"/>
  <c r="J156" i="28"/>
  <c r="I156" i="28"/>
  <c r="U155" i="28"/>
  <c r="U154" i="28" s="1"/>
  <c r="N155" i="28"/>
  <c r="N154" i="28" s="1"/>
  <c r="N151" i="28" s="1"/>
  <c r="J155" i="28"/>
  <c r="J154" i="28" s="1"/>
  <c r="I155" i="28"/>
  <c r="I154" i="28" s="1"/>
  <c r="H155" i="28"/>
  <c r="H154" i="28" s="1"/>
  <c r="U149" i="28"/>
  <c r="N149" i="28"/>
  <c r="J149" i="28"/>
  <c r="I149" i="28"/>
  <c r="H149" i="28"/>
  <c r="U147" i="28"/>
  <c r="N147" i="28"/>
  <c r="J147" i="28"/>
  <c r="I147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I145" i="28"/>
  <c r="H145" i="28"/>
  <c r="U144" i="28"/>
  <c r="N144" i="28"/>
  <c r="J144" i="28"/>
  <c r="I144" i="28"/>
  <c r="H144" i="28"/>
  <c r="K141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I137" i="28"/>
  <c r="H137" i="28"/>
  <c r="N135" i="28"/>
  <c r="H135" i="28"/>
  <c r="U135" i="28"/>
  <c r="T135" i="28"/>
  <c r="S135" i="28"/>
  <c r="R135" i="28"/>
  <c r="Q135" i="28"/>
  <c r="P135" i="28"/>
  <c r="O135" i="28"/>
  <c r="M135" i="28"/>
  <c r="L135" i="28"/>
  <c r="K135" i="28"/>
  <c r="J135" i="28"/>
  <c r="I135" i="28"/>
  <c r="U134" i="28"/>
  <c r="U133" i="28" s="1"/>
  <c r="U132" i="28" s="1"/>
  <c r="U131" i="28" s="1"/>
  <c r="U130" i="28" s="1"/>
  <c r="U129" i="28" s="1"/>
  <c r="J134" i="28"/>
  <c r="J133" i="28" s="1"/>
  <c r="J132" i="28" s="1"/>
  <c r="J131" i="28" s="1"/>
  <c r="J130" i="28" s="1"/>
  <c r="J129" i="28" s="1"/>
  <c r="I134" i="28"/>
  <c r="I133" i="28" s="1"/>
  <c r="I132" i="28" s="1"/>
  <c r="I131" i="28" s="1"/>
  <c r="I130" i="28" s="1"/>
  <c r="I129" i="28" s="1"/>
  <c r="U126" i="28"/>
  <c r="U121" i="28" s="1"/>
  <c r="U120" i="28" s="1"/>
  <c r="U119" i="28" s="1"/>
  <c r="N126" i="28"/>
  <c r="N121" i="28" s="1"/>
  <c r="N120" i="28" s="1"/>
  <c r="N119" i="28" s="1"/>
  <c r="J126" i="28"/>
  <c r="J121" i="28" s="1"/>
  <c r="J120" i="28" s="1"/>
  <c r="J119" i="28" s="1"/>
  <c r="I126" i="28"/>
  <c r="I121" i="28" s="1"/>
  <c r="I120" i="28" s="1"/>
  <c r="I119" i="28" s="1"/>
  <c r="H126" i="28"/>
  <c r="U124" i="28"/>
  <c r="N124" i="28"/>
  <c r="J124" i="28"/>
  <c r="I124" i="28"/>
  <c r="H124" i="28"/>
  <c r="U122" i="28"/>
  <c r="N122" i="28"/>
  <c r="J122" i="28"/>
  <c r="I122" i="28"/>
  <c r="H122" i="28"/>
  <c r="H121" i="28" s="1"/>
  <c r="H120" i="28" s="1"/>
  <c r="H119" i="28" s="1"/>
  <c r="U116" i="28"/>
  <c r="T116" i="28"/>
  <c r="S116" i="28"/>
  <c r="R116" i="28"/>
  <c r="Q116" i="28"/>
  <c r="P116" i="28"/>
  <c r="O116" i="28"/>
  <c r="N116" i="28"/>
  <c r="H116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J113" i="28"/>
  <c r="J110" i="28" s="1"/>
  <c r="J109" i="28" s="1"/>
  <c r="J108" i="28" s="1"/>
  <c r="I113" i="28"/>
  <c r="I110" i="28" s="1"/>
  <c r="I109" i="28" s="1"/>
  <c r="I108" i="28" s="1"/>
  <c r="H109" i="28"/>
  <c r="H108" i="28" s="1"/>
  <c r="U107" i="28"/>
  <c r="N107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U104" i="28"/>
  <c r="U103" i="28" s="1"/>
  <c r="U102" i="28" s="1"/>
  <c r="U101" i="28" s="1"/>
  <c r="U100" i="28" s="1"/>
  <c r="N104" i="28"/>
  <c r="N103" i="28" s="1"/>
  <c r="N102" i="28" s="1"/>
  <c r="N101" i="28" s="1"/>
  <c r="N100" i="28" s="1"/>
  <c r="J104" i="28"/>
  <c r="J103" i="28" s="1"/>
  <c r="J102" i="28" s="1"/>
  <c r="J101" i="28" s="1"/>
  <c r="J100" i="28" s="1"/>
  <c r="I104" i="28"/>
  <c r="I103" i="28" s="1"/>
  <c r="I102" i="28" s="1"/>
  <c r="I101" i="28" s="1"/>
  <c r="I100" i="28" s="1"/>
  <c r="H104" i="28"/>
  <c r="H103" i="28" s="1"/>
  <c r="H102" i="28" s="1"/>
  <c r="H101" i="28" s="1"/>
  <c r="H100" i="28" s="1"/>
  <c r="U98" i="28"/>
  <c r="T98" i="28"/>
  <c r="S98" i="28"/>
  <c r="R98" i="28"/>
  <c r="Q98" i="28"/>
  <c r="P98" i="28"/>
  <c r="O98" i="28"/>
  <c r="N98" i="28"/>
  <c r="M98" i="28"/>
  <c r="L98" i="28"/>
  <c r="K98" i="28"/>
  <c r="J98" i="28"/>
  <c r="I98" i="28"/>
  <c r="H98" i="28"/>
  <c r="U97" i="28"/>
  <c r="U96" i="28" s="1"/>
  <c r="U95" i="28" s="1"/>
  <c r="U94" i="28" s="1"/>
  <c r="U93" i="28" s="1"/>
  <c r="N97" i="28"/>
  <c r="N96" i="28" s="1"/>
  <c r="N95" i="28" s="1"/>
  <c r="N94" i="28" s="1"/>
  <c r="N93" i="28" s="1"/>
  <c r="H97" i="28"/>
  <c r="H96" i="28" s="1"/>
  <c r="H95" i="28" s="1"/>
  <c r="H94" i="28" s="1"/>
  <c r="H93" i="28" s="1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U90" i="28"/>
  <c r="U89" i="28" s="1"/>
  <c r="U88" i="28" s="1"/>
  <c r="U87" i="28" s="1"/>
  <c r="U86" i="28" s="1"/>
  <c r="T90" i="28"/>
  <c r="S90" i="28"/>
  <c r="S89" i="28" s="1"/>
  <c r="S88" i="28" s="1"/>
  <c r="S87" i="28" s="1"/>
  <c r="S86" i="28" s="1"/>
  <c r="R90" i="28"/>
  <c r="R89" i="28" s="1"/>
  <c r="R88" i="28" s="1"/>
  <c r="R87" i="28" s="1"/>
  <c r="R86" i="28" s="1"/>
  <c r="Q90" i="28"/>
  <c r="Q89" i="28" s="1"/>
  <c r="Q88" i="28" s="1"/>
  <c r="Q87" i="28" s="1"/>
  <c r="Q86" i="28" s="1"/>
  <c r="P90" i="28"/>
  <c r="P89" i="28" s="1"/>
  <c r="P88" i="28" s="1"/>
  <c r="P87" i="28" s="1"/>
  <c r="P86" i="28" s="1"/>
  <c r="O90" i="28"/>
  <c r="O89" i="28" s="1"/>
  <c r="O88" i="28" s="1"/>
  <c r="O87" i="28" s="1"/>
  <c r="O86" i="28" s="1"/>
  <c r="N90" i="28"/>
  <c r="N89" i="28" s="1"/>
  <c r="N88" i="28" s="1"/>
  <c r="N87" i="28" s="1"/>
  <c r="N86" i="28" s="1"/>
  <c r="H90" i="28"/>
  <c r="H89" i="28" s="1"/>
  <c r="H88" i="28" s="1"/>
  <c r="H87" i="28" s="1"/>
  <c r="H86" i="28" s="1"/>
  <c r="T89" i="28"/>
  <c r="T88" i="28" s="1"/>
  <c r="T87" i="28" s="1"/>
  <c r="T86" i="28" s="1"/>
  <c r="K85" i="28"/>
  <c r="K84" i="28" s="1"/>
  <c r="U84" i="28"/>
  <c r="T84" i="28"/>
  <c r="S84" i="28"/>
  <c r="R84" i="28"/>
  <c r="Q84" i="28"/>
  <c r="P84" i="28"/>
  <c r="O84" i="28"/>
  <c r="N84" i="28"/>
  <c r="M84" i="28"/>
  <c r="L84" i="28"/>
  <c r="J84" i="28"/>
  <c r="I84" i="28"/>
  <c r="H84" i="28"/>
  <c r="U83" i="28"/>
  <c r="U82" i="28" s="1"/>
  <c r="U81" i="28" s="1"/>
  <c r="N83" i="28"/>
  <c r="N82" i="28" s="1"/>
  <c r="N81" i="28" s="1"/>
  <c r="J83" i="28"/>
  <c r="J82" i="28" s="1"/>
  <c r="J81" i="28" s="1"/>
  <c r="I83" i="28"/>
  <c r="I82" i="28" s="1"/>
  <c r="I81" i="28" s="1"/>
  <c r="H83" i="28"/>
  <c r="H82" i="28" s="1"/>
  <c r="H81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H391" i="28" l="1"/>
  <c r="H392" i="28"/>
  <c r="N391" i="28"/>
  <c r="N325" i="28" s="1"/>
  <c r="N392" i="28"/>
  <c r="U391" i="28"/>
  <c r="U392" i="28"/>
  <c r="H64" i="28"/>
  <c r="H63" i="28" s="1"/>
  <c r="H62" i="28" s="1"/>
  <c r="H61" i="28" s="1"/>
  <c r="U143" i="28"/>
  <c r="N143" i="28"/>
  <c r="I443" i="28"/>
  <c r="N568" i="28"/>
  <c r="N567" i="28" s="1"/>
  <c r="N553" i="28" s="1"/>
  <c r="N552" i="28" s="1"/>
  <c r="N548" i="28" s="1"/>
  <c r="N547" i="28" s="1"/>
  <c r="N546" i="28" s="1"/>
  <c r="U568" i="28"/>
  <c r="U567" i="28" s="1"/>
  <c r="U553" i="28" s="1"/>
  <c r="U151" i="28"/>
  <c r="H571" i="28"/>
  <c r="H570" i="28" s="1"/>
  <c r="H569" i="28" s="1"/>
  <c r="H151" i="28"/>
  <c r="H285" i="28"/>
  <c r="H274" i="28" s="1"/>
  <c r="K61" i="28"/>
  <c r="M61" i="28" s="1"/>
  <c r="H406" i="28"/>
  <c r="K27" i="28"/>
  <c r="K24" i="28" s="1"/>
  <c r="N328" i="28"/>
  <c r="I424" i="28"/>
  <c r="I423" i="28" s="1"/>
  <c r="I422" i="28" s="1"/>
  <c r="I421" i="28" s="1"/>
  <c r="H428" i="28"/>
  <c r="H424" i="28" s="1"/>
  <c r="H423" i="28" s="1"/>
  <c r="H422" i="28" s="1"/>
  <c r="H421" i="28" s="1"/>
  <c r="U110" i="28"/>
  <c r="U109" i="28" s="1"/>
  <c r="U108" i="28" s="1"/>
  <c r="U328" i="28"/>
  <c r="N110" i="28"/>
  <c r="N109" i="28" s="1"/>
  <c r="N108" i="28" s="1"/>
  <c r="H143" i="28"/>
  <c r="H140" i="28" s="1"/>
  <c r="I160" i="28"/>
  <c r="I159" i="28" s="1"/>
  <c r="I504" i="28"/>
  <c r="I500" i="28" s="1"/>
  <c r="N239" i="28"/>
  <c r="N238" i="28" s="1"/>
  <c r="N237" i="28" s="1"/>
  <c r="N231" i="28" s="1"/>
  <c r="N177" i="28" s="1"/>
  <c r="U211" i="28"/>
  <c r="U208" i="28" s="1"/>
  <c r="U207" i="28" s="1"/>
  <c r="H537" i="28"/>
  <c r="H536" i="28" s="1"/>
  <c r="H535" i="28" s="1"/>
  <c r="H534" i="28" s="1"/>
  <c r="H533" i="28" s="1"/>
  <c r="N246" i="28"/>
  <c r="J194" i="28"/>
  <c r="J193" i="28" s="1"/>
  <c r="J192" i="28" s="1"/>
  <c r="J191" i="28" s="1"/>
  <c r="H479" i="28"/>
  <c r="H478" i="28" s="1"/>
  <c r="H470" i="28" s="1"/>
  <c r="N241" i="28"/>
  <c r="N504" i="28"/>
  <c r="N500" i="28" s="1"/>
  <c r="N499" i="28" s="1"/>
  <c r="N498" i="28" s="1"/>
  <c r="N489" i="28" s="1"/>
  <c r="N537" i="28"/>
  <c r="N536" i="28" s="1"/>
  <c r="N535" i="28" s="1"/>
  <c r="N534" i="28" s="1"/>
  <c r="N533" i="28" s="1"/>
  <c r="J160" i="28"/>
  <c r="J159" i="28" s="1"/>
  <c r="U331" i="28"/>
  <c r="H443" i="28"/>
  <c r="H442" i="28" s="1"/>
  <c r="J504" i="28"/>
  <c r="J500" i="28" s="1"/>
  <c r="N134" i="28"/>
  <c r="N133" i="28" s="1"/>
  <c r="N132" i="28" s="1"/>
  <c r="N131" i="28" s="1"/>
  <c r="N130" i="28" s="1"/>
  <c r="N129" i="28" s="1"/>
  <c r="I143" i="28"/>
  <c r="I142" i="28" s="1"/>
  <c r="J219" i="28"/>
  <c r="J215" i="28" s="1"/>
  <c r="J214" i="28" s="1"/>
  <c r="U240" i="28"/>
  <c r="U239" i="28" s="1"/>
  <c r="U238" i="28" s="1"/>
  <c r="U237" i="28" s="1"/>
  <c r="U231" i="28" s="1"/>
  <c r="N331" i="28"/>
  <c r="I457" i="28"/>
  <c r="I509" i="28"/>
  <c r="U173" i="28"/>
  <c r="U172" i="28" s="1"/>
  <c r="U171" i="28" s="1"/>
  <c r="U169" i="28" s="1"/>
  <c r="U263" i="28"/>
  <c r="U262" i="28" s="1"/>
  <c r="U261" i="28" s="1"/>
  <c r="U251" i="28" s="1"/>
  <c r="U414" i="28"/>
  <c r="U407" i="28" s="1"/>
  <c r="U406" i="28" s="1"/>
  <c r="U405" i="28" s="1"/>
  <c r="N428" i="28"/>
  <c r="J509" i="28"/>
  <c r="U335" i="28"/>
  <c r="H336" i="28"/>
  <c r="N340" i="28"/>
  <c r="H340" i="28"/>
  <c r="N345" i="28"/>
  <c r="I64" i="28"/>
  <c r="I63" i="28" s="1"/>
  <c r="I62" i="28" s="1"/>
  <c r="I61" i="28" s="1"/>
  <c r="N64" i="28"/>
  <c r="N63" i="28" s="1"/>
  <c r="N62" i="28" s="1"/>
  <c r="N61" i="28" s="1"/>
  <c r="N60" i="28" s="1"/>
  <c r="U64" i="28"/>
  <c r="U63" i="28" s="1"/>
  <c r="U62" i="28" s="1"/>
  <c r="U61" i="28" s="1"/>
  <c r="U27" i="28" s="1"/>
  <c r="N263" i="28"/>
  <c r="N262" i="28" s="1"/>
  <c r="N261" i="28" s="1"/>
  <c r="N251" i="28" s="1"/>
  <c r="I340" i="28"/>
  <c r="U340" i="28"/>
  <c r="H383" i="28"/>
  <c r="H382" i="28" s="1"/>
  <c r="H372" i="28" s="1"/>
  <c r="U537" i="28"/>
  <c r="U536" i="28" s="1"/>
  <c r="U535" i="28" s="1"/>
  <c r="U534" i="28" s="1"/>
  <c r="U533" i="28" s="1"/>
  <c r="J64" i="28"/>
  <c r="J63" i="28" s="1"/>
  <c r="J62" i="28" s="1"/>
  <c r="J61" i="28" s="1"/>
  <c r="I194" i="28"/>
  <c r="I193" i="28" s="1"/>
  <c r="I192" i="28" s="1"/>
  <c r="I191" i="28" s="1"/>
  <c r="I231" i="28"/>
  <c r="I327" i="28"/>
  <c r="I326" i="28" s="1"/>
  <c r="U332" i="28"/>
  <c r="J457" i="28"/>
  <c r="N219" i="28"/>
  <c r="N215" i="28" s="1"/>
  <c r="N214" i="28" s="1"/>
  <c r="J231" i="28"/>
  <c r="J340" i="28"/>
  <c r="J339" i="28" s="1"/>
  <c r="J334" i="28" s="1"/>
  <c r="J325" i="28" s="1"/>
  <c r="J424" i="28"/>
  <c r="J423" i="28" s="1"/>
  <c r="J422" i="28" s="1"/>
  <c r="J421" i="28" s="1"/>
  <c r="J553" i="28"/>
  <c r="J552" i="28" s="1"/>
  <c r="J548" i="28" s="1"/>
  <c r="J547" i="28" s="1"/>
  <c r="J546" i="28" s="1"/>
  <c r="J532" i="28" s="1"/>
  <c r="J531" i="28" s="1"/>
  <c r="H252" i="28"/>
  <c r="I470" i="28"/>
  <c r="H173" i="28"/>
  <c r="H172" i="28" s="1"/>
  <c r="H171" i="28" s="1"/>
  <c r="H169" i="28" s="1"/>
  <c r="U276" i="28"/>
  <c r="U275" i="28" s="1"/>
  <c r="U274" i="28" s="1"/>
  <c r="U282" i="28"/>
  <c r="U345" i="28"/>
  <c r="N384" i="28"/>
  <c r="J443" i="28"/>
  <c r="U446" i="28"/>
  <c r="U445" i="28" s="1"/>
  <c r="U444" i="28" s="1"/>
  <c r="U443" i="28" s="1"/>
  <c r="U442" i="28" s="1"/>
  <c r="I553" i="28"/>
  <c r="I552" i="28" s="1"/>
  <c r="I548" i="28" s="1"/>
  <c r="I547" i="28" s="1"/>
  <c r="I546" i="28" s="1"/>
  <c r="I532" i="28" s="1"/>
  <c r="I531" i="28" s="1"/>
  <c r="H107" i="28"/>
  <c r="H198" i="28"/>
  <c r="H194" i="28" s="1"/>
  <c r="H193" i="28" s="1"/>
  <c r="N208" i="28"/>
  <c r="N207" i="28" s="1"/>
  <c r="I219" i="28"/>
  <c r="I215" i="28" s="1"/>
  <c r="I214" i="28" s="1"/>
  <c r="H219" i="28"/>
  <c r="H215" i="28" s="1"/>
  <c r="H214" i="28" s="1"/>
  <c r="U219" i="28"/>
  <c r="U215" i="28" s="1"/>
  <c r="U214" i="28" s="1"/>
  <c r="J263" i="28"/>
  <c r="J262" i="28" s="1"/>
  <c r="J261" i="28" s="1"/>
  <c r="J251" i="28" s="1"/>
  <c r="I263" i="28"/>
  <c r="I262" i="28" s="1"/>
  <c r="I261" i="28" s="1"/>
  <c r="I251" i="28" s="1"/>
  <c r="H263" i="28"/>
  <c r="H262" i="28" s="1"/>
  <c r="H261" i="28" s="1"/>
  <c r="H331" i="28"/>
  <c r="H327" i="28" s="1"/>
  <c r="N336" i="28"/>
  <c r="U428" i="28"/>
  <c r="U447" i="28"/>
  <c r="H345" i="28"/>
  <c r="U479" i="28"/>
  <c r="U478" i="28" s="1"/>
  <c r="U470" i="28" s="1"/>
  <c r="N479" i="28"/>
  <c r="N478" i="28" s="1"/>
  <c r="N470" i="28" s="1"/>
  <c r="J143" i="28"/>
  <c r="J142" i="28" s="1"/>
  <c r="U140" i="28"/>
  <c r="N140" i="28"/>
  <c r="I345" i="28"/>
  <c r="H504" i="28"/>
  <c r="H500" i="28" s="1"/>
  <c r="H499" i="28" s="1"/>
  <c r="H498" i="28" s="1"/>
  <c r="H489" i="28" s="1"/>
  <c r="U504" i="28"/>
  <c r="U500" i="28" s="1"/>
  <c r="U499" i="28" s="1"/>
  <c r="U498" i="28" s="1"/>
  <c r="U489" i="28" s="1"/>
  <c r="I27" i="28"/>
  <c r="J107" i="28"/>
  <c r="J27" i="28"/>
  <c r="I107" i="28"/>
  <c r="I274" i="28"/>
  <c r="H134" i="28"/>
  <c r="H133" i="28" s="1"/>
  <c r="H132" i="28" s="1"/>
  <c r="H131" i="28" s="1"/>
  <c r="H130" i="28" s="1"/>
  <c r="H129" i="28" s="1"/>
  <c r="J274" i="28"/>
  <c r="J470" i="28"/>
  <c r="U194" i="28"/>
  <c r="U193" i="28" s="1"/>
  <c r="H241" i="28"/>
  <c r="H240" i="28"/>
  <c r="H239" i="28" s="1"/>
  <c r="H238" i="28" s="1"/>
  <c r="H237" i="28" s="1"/>
  <c r="H231" i="28" s="1"/>
  <c r="H177" i="28" s="1"/>
  <c r="N460" i="28"/>
  <c r="N459" i="28"/>
  <c r="N446" i="28"/>
  <c r="N445" i="28" s="1"/>
  <c r="N444" i="28" s="1"/>
  <c r="N443" i="28" s="1"/>
  <c r="N442" i="28" s="1"/>
  <c r="H212" i="28"/>
  <c r="H211" i="28"/>
  <c r="H208" i="28" s="1"/>
  <c r="H207" i="28" s="1"/>
  <c r="N175" i="28"/>
  <c r="N173" i="28"/>
  <c r="N172" i="28" s="1"/>
  <c r="N171" i="28" s="1"/>
  <c r="N199" i="28"/>
  <c r="N198" i="28"/>
  <c r="N194" i="28" s="1"/>
  <c r="N193" i="28" s="1"/>
  <c r="N282" i="28"/>
  <c r="N283" i="28"/>
  <c r="H388" i="28"/>
  <c r="H387" i="28" s="1"/>
  <c r="H386" i="28" s="1"/>
  <c r="H389" i="28"/>
  <c r="U383" i="28"/>
  <c r="U382" i="28" s="1"/>
  <c r="U384" i="28"/>
  <c r="H373" i="28"/>
  <c r="N327" i="28" l="1"/>
  <c r="U424" i="28"/>
  <c r="U423" i="28" s="1"/>
  <c r="U422" i="28" s="1"/>
  <c r="U421" i="28" s="1"/>
  <c r="U139" i="28"/>
  <c r="N424" i="28"/>
  <c r="N423" i="28" s="1"/>
  <c r="N422" i="28" s="1"/>
  <c r="N421" i="28" s="1"/>
  <c r="U177" i="28"/>
  <c r="U552" i="28"/>
  <c r="U548" i="28" s="1"/>
  <c r="U547" i="28" s="1"/>
  <c r="U546" i="28" s="1"/>
  <c r="U532" i="28" s="1"/>
  <c r="U531" i="28" s="1"/>
  <c r="H568" i="28"/>
  <c r="H567" i="28" s="1"/>
  <c r="H553" i="28" s="1"/>
  <c r="H552" i="28" s="1"/>
  <c r="H548" i="28" s="1"/>
  <c r="H547" i="28" s="1"/>
  <c r="H546" i="28" s="1"/>
  <c r="H532" i="28" s="1"/>
  <c r="H531" i="28" s="1"/>
  <c r="U170" i="28"/>
  <c r="H139" i="28"/>
  <c r="H405" i="28"/>
  <c r="N532" i="28"/>
  <c r="N531" i="28" s="1"/>
  <c r="N27" i="28"/>
  <c r="N25" i="28" s="1"/>
  <c r="U327" i="28"/>
  <c r="H170" i="28"/>
  <c r="I141" i="28"/>
  <c r="I140" i="28" s="1"/>
  <c r="I139" i="28" s="1"/>
  <c r="J141" i="28"/>
  <c r="J140" i="28" s="1"/>
  <c r="J139" i="28" s="1"/>
  <c r="I499" i="28"/>
  <c r="I498" i="28" s="1"/>
  <c r="I489" i="28" s="1"/>
  <c r="N250" i="28"/>
  <c r="H251" i="28"/>
  <c r="U192" i="28"/>
  <c r="N192" i="28"/>
  <c r="J499" i="28"/>
  <c r="J498" i="28" s="1"/>
  <c r="J489" i="28" s="1"/>
  <c r="I60" i="28"/>
  <c r="H60" i="28"/>
  <c r="J60" i="28"/>
  <c r="J177" i="28"/>
  <c r="U339" i="28"/>
  <c r="U334" i="28" s="1"/>
  <c r="I339" i="28"/>
  <c r="I334" i="28" s="1"/>
  <c r="I325" i="28" s="1"/>
  <c r="I250" i="28" s="1"/>
  <c r="H339" i="28"/>
  <c r="H334" i="28" s="1"/>
  <c r="H326" i="28" s="1"/>
  <c r="H325" i="28" s="1"/>
  <c r="N339" i="28"/>
  <c r="N334" i="28" s="1"/>
  <c r="N326" i="28" s="1"/>
  <c r="I177" i="28"/>
  <c r="U60" i="28"/>
  <c r="H27" i="28"/>
  <c r="H25" i="28" s="1"/>
  <c r="J250" i="28"/>
  <c r="H192" i="28"/>
  <c r="U25" i="28"/>
  <c r="N169" i="28"/>
  <c r="N139" i="28" s="1"/>
  <c r="N170" i="28"/>
  <c r="V197" i="28"/>
  <c r="J25" i="28"/>
  <c r="I25" i="28"/>
  <c r="U250" i="28" l="1"/>
  <c r="U59" i="28" s="1"/>
  <c r="U326" i="28"/>
  <c r="J26" i="28"/>
  <c r="H250" i="28"/>
  <c r="N59" i="28"/>
  <c r="J59" i="28"/>
  <c r="J24" i="28" s="1"/>
  <c r="I59" i="28"/>
  <c r="I24" i="28" s="1"/>
  <c r="N26" i="28"/>
  <c r="N24" i="28" s="1"/>
  <c r="N590" i="28" s="1"/>
  <c r="U26" i="28"/>
  <c r="U24" i="28" s="1"/>
  <c r="U590" i="28" s="1"/>
  <c r="I26" i="28"/>
  <c r="AB22" i="28" l="1"/>
  <c r="AB20" i="28" s="1"/>
  <c r="H26" i="28"/>
  <c r="H24" i="28" s="1"/>
  <c r="H590" i="28" s="1"/>
  <c r="AD590" i="28" s="1"/>
  <c r="H59" i="28"/>
  <c r="AA22" i="28"/>
  <c r="AA20" i="28" s="1"/>
  <c r="Z137" i="27"/>
  <c r="Y137" i="27"/>
  <c r="X137" i="27"/>
  <c r="O133" i="27"/>
  <c r="P130" i="27"/>
  <c r="AC116" i="27"/>
  <c r="AB116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T40" i="27"/>
  <c r="R40" i="27"/>
  <c r="K40" i="27"/>
  <c r="V38" i="27" l="1"/>
  <c r="M24" i="28"/>
  <c r="K38" i="27"/>
  <c r="P88" i="27"/>
  <c r="P82" i="27"/>
  <c r="P108" i="27"/>
  <c r="R38" i="27"/>
  <c r="R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K131" i="27" l="1"/>
  <c r="P38" i="27"/>
  <c r="P131" i="27" s="1"/>
  <c r="V131" i="27"/>
  <c r="W300" i="22"/>
  <c r="W299" i="22" s="1"/>
  <c r="N177" i="23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W286" i="22"/>
  <c r="V286" i="22"/>
  <c r="N286" i="22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Q81" i="23" s="1"/>
  <c r="Q80" i="23" s="1"/>
  <c r="Q79" i="23" s="1"/>
  <c r="P82" i="23"/>
  <c r="P81" i="23" s="1"/>
  <c r="P80" i="23" s="1"/>
  <c r="P79" i="23" s="1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U80" i="23"/>
  <c r="U79" i="23" s="1"/>
  <c r="U66" i="23"/>
  <c r="N66" i="23"/>
  <c r="U69" i="23"/>
  <c r="N69" i="23"/>
  <c r="N370" i="22"/>
  <c r="V370" i="22"/>
  <c r="W370" i="22"/>
  <c r="N502" i="22"/>
  <c r="N499" i="22" s="1"/>
  <c r="Q502" i="22"/>
  <c r="R502" i="22"/>
  <c r="V502" i="22"/>
  <c r="V499" i="22" s="1"/>
  <c r="W502" i="22"/>
  <c r="W499" i="22" s="1"/>
  <c r="W368" i="22"/>
  <c r="W367" i="22" s="1"/>
  <c r="V368" i="22"/>
  <c r="V367" i="22" s="1"/>
  <c r="N368" i="22"/>
  <c r="N367" i="22" s="1"/>
  <c r="J346" i="22"/>
  <c r="N346" i="22"/>
  <c r="N345" i="22" s="1"/>
  <c r="O346" i="22"/>
  <c r="P346" i="22"/>
  <c r="Q346" i="22"/>
  <c r="R346" i="22"/>
  <c r="W266" i="22"/>
  <c r="W265" i="22" s="1"/>
  <c r="W235" i="22"/>
  <c r="V235" i="22"/>
  <c r="N235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46" i="22"/>
  <c r="W345" i="22" s="1"/>
  <c r="V346" i="22"/>
  <c r="V345" i="22" s="1"/>
  <c r="W214" i="22"/>
  <c r="V214" i="22"/>
  <c r="V213" i="22" s="1"/>
  <c r="N214" i="22"/>
  <c r="W403" i="22"/>
  <c r="V403" i="22"/>
  <c r="N403" i="22"/>
  <c r="W416" i="22"/>
  <c r="W415" i="22" s="1"/>
  <c r="W414" i="22" s="1"/>
  <c r="W413" i="22" s="1"/>
  <c r="W412" i="22" s="1"/>
  <c r="V416" i="22"/>
  <c r="V415" i="22" s="1"/>
  <c r="V414" i="22" s="1"/>
  <c r="V413" i="22" s="1"/>
  <c r="V412" i="22" s="1"/>
  <c r="N416" i="22"/>
  <c r="N415" i="22" s="1"/>
  <c r="N414" i="22" s="1"/>
  <c r="N413" i="22" s="1"/>
  <c r="N412" i="22" s="1"/>
  <c r="W400" i="22" l="1"/>
  <c r="W399" i="22" s="1"/>
  <c r="W398" i="22" s="1"/>
  <c r="W397" i="22" s="1"/>
  <c r="W402" i="22"/>
  <c r="N212" i="22"/>
  <c r="N211" i="22" s="1"/>
  <c r="N213" i="22"/>
  <c r="N400" i="22"/>
  <c r="N399" i="22" s="1"/>
  <c r="N398" i="22" s="1"/>
  <c r="N397" i="22" s="1"/>
  <c r="N402" i="22"/>
  <c r="V400" i="22"/>
  <c r="V399" i="22" s="1"/>
  <c r="V398" i="22" s="1"/>
  <c r="V397" i="22" s="1"/>
  <c r="V402" i="22"/>
  <c r="W212" i="22"/>
  <c r="W211" i="22" s="1"/>
  <c r="W213" i="22"/>
  <c r="V212" i="22"/>
  <c r="V211" i="22" s="1"/>
  <c r="W327" i="22"/>
  <c r="W446" i="22"/>
  <c r="W445" i="22" s="1"/>
  <c r="W444" i="22" s="1"/>
  <c r="W443" i="22" s="1"/>
  <c r="W442" i="22" s="1"/>
  <c r="V209" i="22"/>
  <c r="W643" i="22"/>
  <c r="V643" i="22"/>
  <c r="N643" i="22"/>
  <c r="W733" i="22"/>
  <c r="W731" i="22"/>
  <c r="W728" i="22"/>
  <c r="W713" i="22"/>
  <c r="W712" i="22" s="1"/>
  <c r="W710" i="22"/>
  <c r="W709" i="22" s="1"/>
  <c r="W707" i="22"/>
  <c r="W706" i="22" s="1"/>
  <c r="W704" i="22"/>
  <c r="W703" i="22" s="1"/>
  <c r="W701" i="22"/>
  <c r="W697" i="22"/>
  <c r="W696" i="22" s="1"/>
  <c r="W694" i="22"/>
  <c r="W693" i="22" s="1"/>
  <c r="W691" i="22"/>
  <c r="W689" i="22"/>
  <c r="W687" i="22"/>
  <c r="W686" i="22" s="1"/>
  <c r="W685" i="22" s="1"/>
  <c r="W681" i="22"/>
  <c r="W680" i="22" s="1"/>
  <c r="W675" i="22"/>
  <c r="W674" i="22" s="1"/>
  <c r="W672" i="22"/>
  <c r="W671" i="22" s="1"/>
  <c r="W669" i="22"/>
  <c r="W668" i="22" s="1"/>
  <c r="W666" i="22"/>
  <c r="W665" i="22" s="1"/>
  <c r="W663" i="22"/>
  <c r="W662" i="22" s="1"/>
  <c r="W660" i="22"/>
  <c r="W658" i="22"/>
  <c r="W657" i="22" s="1"/>
  <c r="W654" i="22"/>
  <c r="W649" i="22" s="1"/>
  <c r="W639" i="22"/>
  <c r="W635" i="22" s="1"/>
  <c r="W634" i="22" s="1"/>
  <c r="W632" i="22"/>
  <c r="W628" i="22"/>
  <c r="W627" i="22" s="1"/>
  <c r="W625" i="22"/>
  <c r="W621" i="22"/>
  <c r="W613" i="22"/>
  <c r="W612" i="22" s="1"/>
  <c r="W610" i="22"/>
  <c r="W609" i="22" s="1"/>
  <c r="W603" i="22"/>
  <c r="W598" i="22"/>
  <c r="W593" i="22"/>
  <c r="W592" i="22" s="1"/>
  <c r="W590" i="22"/>
  <c r="W586" i="22"/>
  <c r="W582" i="22" s="1"/>
  <c r="W580" i="22"/>
  <c r="W578" i="22"/>
  <c r="W575" i="22"/>
  <c r="W573" i="22"/>
  <c r="W572" i="22" s="1"/>
  <c r="W567" i="22"/>
  <c r="W566" i="22" s="1"/>
  <c r="W565" i="22" s="1"/>
  <c r="W563" i="22"/>
  <c r="W558" i="22"/>
  <c r="W557" i="22" s="1"/>
  <c r="W556" i="22" s="1"/>
  <c r="W555" i="22" s="1"/>
  <c r="W554" i="22" s="1"/>
  <c r="W552" i="22"/>
  <c r="W551" i="22" s="1"/>
  <c r="W550" i="22" s="1"/>
  <c r="W549" i="22" s="1"/>
  <c r="W547" i="22"/>
  <c r="W544" i="22"/>
  <c r="W541" i="22"/>
  <c r="W540" i="22" s="1"/>
  <c r="W536" i="22"/>
  <c r="W535" i="22" s="1"/>
  <c r="W533" i="22"/>
  <c r="W531" i="22" s="1"/>
  <c r="W529" i="22"/>
  <c r="W528" i="22" s="1"/>
  <c r="W526" i="22"/>
  <c r="W525" i="22" s="1"/>
  <c r="W524" i="22" s="1"/>
  <c r="W523" i="22" s="1"/>
  <c r="W521" i="22"/>
  <c r="W520" i="22" s="1"/>
  <c r="W514" i="22"/>
  <c r="W512" i="22" s="1"/>
  <c r="W510" i="22"/>
  <c r="W507" i="22"/>
  <c r="W497" i="22"/>
  <c r="W491" i="22"/>
  <c r="W490" i="22"/>
  <c r="W489" i="22" s="1"/>
  <c r="W485" i="22"/>
  <c r="W484" i="22" s="1"/>
  <c r="W483" i="22"/>
  <c r="W479" i="22"/>
  <c r="W453" i="22"/>
  <c r="W452" i="22" s="1"/>
  <c r="W451" i="22" s="1"/>
  <c r="W450" i="22" s="1"/>
  <c r="W449" i="22" s="1"/>
  <c r="W448" i="22" s="1"/>
  <c r="W435" i="22"/>
  <c r="W434" i="22" s="1"/>
  <c r="W433" i="22" s="1"/>
  <c r="W432" i="22" s="1"/>
  <c r="W390" i="22"/>
  <c r="W389" i="22" s="1"/>
  <c r="W388" i="22" s="1"/>
  <c r="W387" i="22" s="1"/>
  <c r="W386" i="22" s="1"/>
  <c r="W384" i="22"/>
  <c r="W383" i="22" s="1"/>
  <c r="W382" i="22" s="1"/>
  <c r="W381" i="22" s="1"/>
  <c r="W380" i="22" s="1"/>
  <c r="W378" i="22"/>
  <c r="W377" i="22" s="1"/>
  <c r="W376" i="22" s="1"/>
  <c r="W375" i="22" s="1"/>
  <c r="W374" i="22" s="1"/>
  <c r="W373" i="22"/>
  <c r="W365" i="22"/>
  <c r="W363" i="22"/>
  <c r="W361" i="22"/>
  <c r="W360" i="22"/>
  <c r="W359" i="22" s="1"/>
  <c r="W350" i="22"/>
  <c r="W344" i="22"/>
  <c r="W343" i="22"/>
  <c r="W342" i="22" s="1"/>
  <c r="W340" i="22"/>
  <c r="W331" i="22"/>
  <c r="W325" i="22"/>
  <c r="W321" i="22"/>
  <c r="W320" i="22" s="1"/>
  <c r="W319" i="22"/>
  <c r="W318" i="22" s="1"/>
  <c r="W316" i="22"/>
  <c r="W312" i="22"/>
  <c r="W307" i="22"/>
  <c r="W303" i="22"/>
  <c r="W296" i="22"/>
  <c r="W289" i="22"/>
  <c r="W284" i="22"/>
  <c r="W279" i="22"/>
  <c r="W278" i="22" s="1"/>
  <c r="W277" i="22" s="1"/>
  <c r="W272" i="22"/>
  <c r="W264" i="22"/>
  <c r="W261" i="22"/>
  <c r="W260" i="22" s="1"/>
  <c r="W258" i="22"/>
  <c r="W257" i="22" s="1"/>
  <c r="W255" i="22"/>
  <c r="W254" i="22" s="1"/>
  <c r="W253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33" i="22"/>
  <c r="V731" i="22"/>
  <c r="V728" i="22"/>
  <c r="V713" i="22"/>
  <c r="V712" i="22" s="1"/>
  <c r="V710" i="22"/>
  <c r="V709" i="22" s="1"/>
  <c r="V707" i="22"/>
  <c r="V706" i="22" s="1"/>
  <c r="V704" i="22"/>
  <c r="V703" i="22" s="1"/>
  <c r="V701" i="22"/>
  <c r="V700" i="22" s="1"/>
  <c r="V699" i="22"/>
  <c r="V697" i="22"/>
  <c r="V696" i="22" s="1"/>
  <c r="V694" i="22"/>
  <c r="V693" i="22" s="1"/>
  <c r="V691" i="22"/>
  <c r="V689" i="22"/>
  <c r="V687" i="22"/>
  <c r="V686" i="22" s="1"/>
  <c r="V685" i="22" s="1"/>
  <c r="V681" i="22"/>
  <c r="V680" i="22" s="1"/>
  <c r="V675" i="22"/>
  <c r="V674" i="22" s="1"/>
  <c r="V672" i="22"/>
  <c r="V671" i="22" s="1"/>
  <c r="V669" i="22"/>
  <c r="V668" i="22" s="1"/>
  <c r="V666" i="22"/>
  <c r="V665" i="22" s="1"/>
  <c r="V663" i="22"/>
  <c r="V662" i="22" s="1"/>
  <c r="V660" i="22"/>
  <c r="V658" i="22"/>
  <c r="V654" i="22"/>
  <c r="V649" i="22" s="1"/>
  <c r="V639" i="22"/>
  <c r="V635" i="22" s="1"/>
  <c r="V634" i="22" s="1"/>
  <c r="V632" i="22"/>
  <c r="V628" i="22"/>
  <c r="V627" i="22" s="1"/>
  <c r="V625" i="22"/>
  <c r="V621" i="22"/>
  <c r="V613" i="22"/>
  <c r="V612" i="22" s="1"/>
  <c r="V610" i="22"/>
  <c r="V609" i="22" s="1"/>
  <c r="V603" i="22"/>
  <c r="V598" i="22"/>
  <c r="V593" i="22"/>
  <c r="V592" i="22" s="1"/>
  <c r="V590" i="22"/>
  <c r="V586" i="22"/>
  <c r="V582" i="22" s="1"/>
  <c r="V580" i="22"/>
  <c r="V578" i="22"/>
  <c r="V575" i="22"/>
  <c r="V573" i="22"/>
  <c r="V572" i="22" s="1"/>
  <c r="V567" i="22"/>
  <c r="V566" i="22" s="1"/>
  <c r="V565" i="22" s="1"/>
  <c r="V563" i="22"/>
  <c r="V558" i="22"/>
  <c r="V557" i="22" s="1"/>
  <c r="V556" i="22" s="1"/>
  <c r="V555" i="22" s="1"/>
  <c r="V554" i="22" s="1"/>
  <c r="V552" i="22"/>
  <c r="V551" i="22" s="1"/>
  <c r="V550" i="22" s="1"/>
  <c r="V549" i="22" s="1"/>
  <c r="V547" i="22"/>
  <c r="V544" i="22"/>
  <c r="V541" i="22"/>
  <c r="V536" i="22"/>
  <c r="V535" i="22" s="1"/>
  <c r="V533" i="22"/>
  <c r="V531" i="22" s="1"/>
  <c r="V529" i="22"/>
  <c r="V528" i="22" s="1"/>
  <c r="V526" i="22"/>
  <c r="V525" i="22" s="1"/>
  <c r="V524" i="22" s="1"/>
  <c r="V523" i="22" s="1"/>
  <c r="V521" i="22"/>
  <c r="V520" i="22" s="1"/>
  <c r="V514" i="22"/>
  <c r="V512" i="22" s="1"/>
  <c r="V510" i="22"/>
  <c r="V507" i="22"/>
  <c r="V497" i="22"/>
  <c r="V491" i="22"/>
  <c r="V490" i="22"/>
  <c r="V489" i="22" s="1"/>
  <c r="V485" i="22"/>
  <c r="V484" i="22" s="1"/>
  <c r="V483" i="22"/>
  <c r="V479" i="22"/>
  <c r="V452" i="22"/>
  <c r="V451" i="22" s="1"/>
  <c r="V450" i="22" s="1"/>
  <c r="V449" i="22" s="1"/>
  <c r="V448" i="22" s="1"/>
  <c r="V446" i="22"/>
  <c r="V445" i="22" s="1"/>
  <c r="V444" i="22" s="1"/>
  <c r="V443" i="22" s="1"/>
  <c r="V442" i="22" s="1"/>
  <c r="V435" i="22"/>
  <c r="V434" i="22" s="1"/>
  <c r="V433" i="22" s="1"/>
  <c r="V432" i="22" s="1"/>
  <c r="V427" i="22"/>
  <c r="V426" i="22" s="1"/>
  <c r="V425" i="22" s="1"/>
  <c r="V424" i="22" s="1"/>
  <c r="V418" i="22" s="1"/>
  <c r="V196" i="22" s="1"/>
  <c r="V390" i="22"/>
  <c r="V389" i="22" s="1"/>
  <c r="V388" i="22" s="1"/>
  <c r="V387" i="22" s="1"/>
  <c r="V386" i="22" s="1"/>
  <c r="V384" i="22"/>
  <c r="V383" i="22" s="1"/>
  <c r="V382" i="22" s="1"/>
  <c r="V381" i="22" s="1"/>
  <c r="V380" i="22" s="1"/>
  <c r="V378" i="22"/>
  <c r="V377" i="22" s="1"/>
  <c r="V376" i="22" s="1"/>
  <c r="V375" i="22" s="1"/>
  <c r="V374" i="22" s="1"/>
  <c r="V373" i="22"/>
  <c r="V365" i="22"/>
  <c r="V360" i="22"/>
  <c r="V359" i="22" s="1"/>
  <c r="V363" i="22"/>
  <c r="V361" i="22"/>
  <c r="V350" i="22"/>
  <c r="V344" i="22"/>
  <c r="V343" i="22"/>
  <c r="V342" i="22" s="1"/>
  <c r="V340" i="22"/>
  <c r="V331" i="22"/>
  <c r="V325" i="22"/>
  <c r="V321" i="22"/>
  <c r="V320" i="22" s="1"/>
  <c r="V319" i="22"/>
  <c r="V318" i="22" s="1"/>
  <c r="V316" i="22"/>
  <c r="V312" i="22"/>
  <c r="V307" i="22"/>
  <c r="V303" i="22"/>
  <c r="V299" i="22"/>
  <c r="V296" i="22"/>
  <c r="V289" i="22"/>
  <c r="V284" i="22"/>
  <c r="V279" i="22"/>
  <c r="V278" i="22" s="1"/>
  <c r="V277" i="22" s="1"/>
  <c r="V272" i="22"/>
  <c r="V266" i="22"/>
  <c r="V261" i="22"/>
  <c r="V260" i="22" s="1"/>
  <c r="V258" i="22"/>
  <c r="V257" i="22" s="1"/>
  <c r="V255" i="22"/>
  <c r="V254" i="22" s="1"/>
  <c r="V253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10" i="22" l="1"/>
  <c r="V311" i="22"/>
  <c r="W310" i="22"/>
  <c r="W311" i="22"/>
  <c r="V338" i="22"/>
  <c r="V339" i="22"/>
  <c r="W338" i="22"/>
  <c r="W339" i="22"/>
  <c r="W539" i="22"/>
  <c r="V78" i="22"/>
  <c r="W427" i="22"/>
  <c r="W426" i="22" s="1"/>
  <c r="W425" i="22" s="1"/>
  <c r="W424" i="22" s="1"/>
  <c r="W418" i="22" s="1"/>
  <c r="W577" i="22"/>
  <c r="V577" i="22"/>
  <c r="W348" i="22"/>
  <c r="W349" i="22"/>
  <c r="W656" i="22"/>
  <c r="V348" i="22"/>
  <c r="V349" i="22"/>
  <c r="W314" i="22"/>
  <c r="W315" i="22"/>
  <c r="V314" i="22"/>
  <c r="V315" i="22"/>
  <c r="V264" i="22"/>
  <c r="V252" i="22" s="1"/>
  <c r="V241" i="22" s="1"/>
  <c r="V265" i="22"/>
  <c r="V508" i="22"/>
  <c r="V509" i="22"/>
  <c r="V588" i="22"/>
  <c r="V589" i="22"/>
  <c r="V656" i="22"/>
  <c r="V657" i="22"/>
  <c r="W293" i="22"/>
  <c r="W292" i="22" s="1"/>
  <c r="W291" i="22" s="1"/>
  <c r="W295" i="22"/>
  <c r="W623" i="22"/>
  <c r="W624" i="22"/>
  <c r="W653" i="22"/>
  <c r="W726" i="22"/>
  <c r="W727" i="22"/>
  <c r="V641" i="22"/>
  <c r="V642" i="22"/>
  <c r="V219" i="22"/>
  <c r="V220" i="22"/>
  <c r="V270" i="22"/>
  <c r="V269" i="22" s="1"/>
  <c r="V268" i="22" s="1"/>
  <c r="V263" i="22" s="1"/>
  <c r="V271" i="22"/>
  <c r="V287" i="22"/>
  <c r="V288" i="22"/>
  <c r="V630" i="22"/>
  <c r="V631" i="22"/>
  <c r="W237" i="22"/>
  <c r="W232" i="22" s="1"/>
  <c r="W229" i="22" s="1"/>
  <c r="W238" i="22"/>
  <c r="W282" i="22"/>
  <c r="W281" i="22" s="1"/>
  <c r="W276" i="22" s="1"/>
  <c r="W283" i="22"/>
  <c r="W329" i="22"/>
  <c r="W328" i="22" s="1"/>
  <c r="W330" i="22"/>
  <c r="W508" i="22"/>
  <c r="W509" i="22"/>
  <c r="W588" i="22"/>
  <c r="W589" i="22"/>
  <c r="W641" i="22"/>
  <c r="W642" i="22"/>
  <c r="V181" i="22"/>
  <c r="V180" i="22" s="1"/>
  <c r="V293" i="22"/>
  <c r="V292" i="22" s="1"/>
  <c r="V291" i="22" s="1"/>
  <c r="V295" i="22"/>
  <c r="V323" i="22"/>
  <c r="V324" i="22"/>
  <c r="V596" i="22"/>
  <c r="V597" i="22"/>
  <c r="W218" i="22"/>
  <c r="W216" i="22" s="1"/>
  <c r="W220" i="22"/>
  <c r="W301" i="22"/>
  <c r="W302" i="22"/>
  <c r="W630" i="22"/>
  <c r="W631" i="22"/>
  <c r="V237" i="22"/>
  <c r="V232" i="22" s="1"/>
  <c r="V229" i="22" s="1"/>
  <c r="V238" i="22"/>
  <c r="V282" i="22"/>
  <c r="V281" i="22" s="1"/>
  <c r="V276" i="22" s="1"/>
  <c r="V283" i="22"/>
  <c r="V329" i="22"/>
  <c r="V330" i="22"/>
  <c r="V539" i="22"/>
  <c r="V540" i="22"/>
  <c r="V623" i="22"/>
  <c r="V624" i="22"/>
  <c r="V653" i="22"/>
  <c r="V726" i="22"/>
  <c r="V727" i="22"/>
  <c r="W270" i="22"/>
  <c r="W269" i="22" s="1"/>
  <c r="W268" i="22" s="1"/>
  <c r="W263" i="22" s="1"/>
  <c r="W271" i="22"/>
  <c r="W287" i="22"/>
  <c r="W288" i="22"/>
  <c r="W596" i="22"/>
  <c r="W597" i="22"/>
  <c r="W700" i="22"/>
  <c r="N641" i="22"/>
  <c r="N642" i="22"/>
  <c r="W619" i="22"/>
  <c r="W620" i="22"/>
  <c r="V619" i="22"/>
  <c r="V620" i="22"/>
  <c r="W543" i="22"/>
  <c r="W546" i="22"/>
  <c r="V543" i="22"/>
  <c r="V546" i="22"/>
  <c r="W305" i="22"/>
  <c r="W306" i="22"/>
  <c r="W323" i="22"/>
  <c r="W324" i="22"/>
  <c r="V301" i="22"/>
  <c r="V302" i="22"/>
  <c r="V305" i="22"/>
  <c r="V306" i="22"/>
  <c r="V561" i="22"/>
  <c r="V560" i="22" s="1"/>
  <c r="V559" i="22" s="1"/>
  <c r="V562" i="22"/>
  <c r="W561" i="22"/>
  <c r="W560" i="22" s="1"/>
  <c r="W559" i="22" s="1"/>
  <c r="W562" i="22"/>
  <c r="W477" i="22"/>
  <c r="W476" i="22" s="1"/>
  <c r="W475" i="22" s="1"/>
  <c r="W478" i="22"/>
  <c r="V477" i="22"/>
  <c r="V476" i="22" s="1"/>
  <c r="V475" i="22" s="1"/>
  <c r="V478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W118" i="22"/>
  <c r="W112" i="22" s="1"/>
  <c r="V118" i="22"/>
  <c r="V112" i="22" s="1"/>
  <c r="W688" i="22"/>
  <c r="W730" i="22"/>
  <c r="V688" i="22"/>
  <c r="W104" i="22"/>
  <c r="W99" i="22" s="1"/>
  <c r="V104" i="22"/>
  <c r="V99" i="22" s="1"/>
  <c r="W140" i="22"/>
  <c r="W136" i="22" s="1"/>
  <c r="W158" i="22"/>
  <c r="V730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252" i="22"/>
  <c r="W241" i="22" s="1"/>
  <c r="W123" i="22"/>
  <c r="V158" i="22"/>
  <c r="W91" i="22"/>
  <c r="W90" i="22" s="1"/>
  <c r="W219" i="22"/>
  <c r="W298" i="22"/>
  <c r="V298" i="22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W482" i="22" l="1"/>
  <c r="V482" i="22"/>
  <c r="V481" i="22" s="1"/>
  <c r="V474" i="22" s="1"/>
  <c r="V473" i="22" s="1"/>
  <c r="V228" i="22"/>
  <c r="W228" i="22"/>
  <c r="W481" i="22"/>
  <c r="W474" i="22" s="1"/>
  <c r="W473" i="22" s="1"/>
  <c r="V89" i="22"/>
  <c r="V179" i="22"/>
  <c r="W275" i="22"/>
  <c r="V275" i="22"/>
  <c r="V111" i="22"/>
  <c r="W89" i="22"/>
  <c r="W111" i="22"/>
  <c r="W180" i="22"/>
  <c r="W179" i="22"/>
  <c r="V26" i="22" l="1"/>
  <c r="V17" i="22" s="1"/>
  <c r="V195" i="22"/>
  <c r="W195" i="22"/>
  <c r="Z194" i="22" s="1"/>
  <c r="W26" i="22"/>
  <c r="W17" i="22" s="1"/>
  <c r="N253" i="22"/>
  <c r="N299" i="22"/>
  <c r="N319" i="22"/>
  <c r="N318" i="22" s="1"/>
  <c r="N343" i="22"/>
  <c r="N360" i="22"/>
  <c r="N485" i="22"/>
  <c r="N484" i="22" s="1"/>
  <c r="N541" i="22"/>
  <c r="N547" i="22"/>
  <c r="N567" i="22"/>
  <c r="N566" i="22" s="1"/>
  <c r="N565" i="22" s="1"/>
  <c r="N586" i="22"/>
  <c r="N582" i="22" s="1"/>
  <c r="N632" i="22"/>
  <c r="N639" i="22"/>
  <c r="N635" i="22" s="1"/>
  <c r="N634" i="22" s="1"/>
  <c r="N658" i="22"/>
  <c r="N699" i="22"/>
  <c r="H500" i="23"/>
  <c r="H499" i="23" s="1"/>
  <c r="H498" i="23" s="1"/>
  <c r="H497" i="23" s="1"/>
  <c r="H496" i="23" s="1"/>
  <c r="U500" i="23"/>
  <c r="U499" i="23" s="1"/>
  <c r="U498" i="23" s="1"/>
  <c r="U497" i="23" s="1"/>
  <c r="U496" i="23" s="1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N383" i="23" s="1"/>
  <c r="J384" i="23"/>
  <c r="I384" i="23"/>
  <c r="H384" i="23"/>
  <c r="H383" i="23" s="1"/>
  <c r="J376" i="23"/>
  <c r="J375" i="23" s="1"/>
  <c r="J374" i="23" s="1"/>
  <c r="J373" i="23" s="1"/>
  <c r="I376" i="23"/>
  <c r="I375" i="23" s="1"/>
  <c r="I374" i="23" s="1"/>
  <c r="I373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34" i="22"/>
  <c r="P733" i="22" s="1"/>
  <c r="O734" i="22"/>
  <c r="O733" i="22" s="1"/>
  <c r="J734" i="22"/>
  <c r="J733" i="22" s="1"/>
  <c r="R733" i="22"/>
  <c r="Q733" i="22"/>
  <c r="N733" i="22"/>
  <c r="P732" i="22"/>
  <c r="P731" i="22" s="1"/>
  <c r="O732" i="22"/>
  <c r="O731" i="22" s="1"/>
  <c r="J732" i="22"/>
  <c r="J731" i="22" s="1"/>
  <c r="R731" i="22"/>
  <c r="Q731" i="22"/>
  <c r="N731" i="22"/>
  <c r="M730" i="22"/>
  <c r="L730" i="22"/>
  <c r="R728" i="22"/>
  <c r="R726" i="22" s="1"/>
  <c r="Q728" i="22"/>
  <c r="Q726" i="22" s="1"/>
  <c r="P728" i="22"/>
  <c r="P726" i="22" s="1"/>
  <c r="O728" i="22"/>
  <c r="O726" i="22" s="1"/>
  <c r="N728" i="22"/>
  <c r="J728" i="22"/>
  <c r="J726" i="22" s="1"/>
  <c r="R713" i="22"/>
  <c r="R712" i="22" s="1"/>
  <c r="Q713" i="22"/>
  <c r="Q712" i="22" s="1"/>
  <c r="N713" i="22"/>
  <c r="N712" i="22" s="1"/>
  <c r="R710" i="22"/>
  <c r="R709" i="22" s="1"/>
  <c r="Q710" i="22"/>
  <c r="Q709" i="22" s="1"/>
  <c r="N710" i="22"/>
  <c r="N709" i="22" s="1"/>
  <c r="M710" i="22"/>
  <c r="M709" i="22" s="1"/>
  <c r="N707" i="22"/>
  <c r="N706" i="22" s="1"/>
  <c r="J705" i="22"/>
  <c r="J704" i="22" s="1"/>
  <c r="R704" i="22"/>
  <c r="Q704" i="22"/>
  <c r="N704" i="22"/>
  <c r="N703" i="22" s="1"/>
  <c r="J702" i="22"/>
  <c r="J701" i="22" s="1"/>
  <c r="R701" i="22"/>
  <c r="Q701" i="22"/>
  <c r="N701" i="22"/>
  <c r="N700" i="22" s="1"/>
  <c r="R699" i="22"/>
  <c r="M699" i="22"/>
  <c r="L699" i="22"/>
  <c r="N697" i="22"/>
  <c r="N696" i="22" s="1"/>
  <c r="J695" i="22"/>
  <c r="R694" i="22"/>
  <c r="R693" i="22" s="1"/>
  <c r="Q694" i="22"/>
  <c r="Q693" i="22" s="1"/>
  <c r="N694" i="22"/>
  <c r="N693" i="22" s="1"/>
  <c r="J692" i="22"/>
  <c r="J691" i="22" s="1"/>
  <c r="R691" i="22"/>
  <c r="Q691" i="22"/>
  <c r="P691" i="22"/>
  <c r="O691" i="22"/>
  <c r="N691" i="22"/>
  <c r="J690" i="22"/>
  <c r="J689" i="22" s="1"/>
  <c r="R689" i="22"/>
  <c r="Q689" i="22"/>
  <c r="P689" i="22"/>
  <c r="O689" i="22"/>
  <c r="N689" i="22"/>
  <c r="R687" i="22"/>
  <c r="R686" i="22" s="1"/>
  <c r="R685" i="22" s="1"/>
  <c r="Q687" i="22"/>
  <c r="Q686" i="22" s="1"/>
  <c r="Q685" i="22" s="1"/>
  <c r="N687" i="22"/>
  <c r="N686" i="22" s="1"/>
  <c r="N685" i="22" s="1"/>
  <c r="R681" i="22"/>
  <c r="R680" i="22" s="1"/>
  <c r="Q681" i="22"/>
  <c r="Q680" i="22" s="1"/>
  <c r="P681" i="22"/>
  <c r="P680" i="22" s="1"/>
  <c r="O681" i="22"/>
  <c r="O680" i="22" s="1"/>
  <c r="N681" i="22"/>
  <c r="N680" i="22" s="1"/>
  <c r="M681" i="22"/>
  <c r="M680" i="22" s="1"/>
  <c r="L681" i="22"/>
  <c r="L680" i="22" s="1"/>
  <c r="J681" i="22"/>
  <c r="J680" i="22" s="1"/>
  <c r="M677" i="22"/>
  <c r="L677" i="22"/>
  <c r="R675" i="22"/>
  <c r="R674" i="22" s="1"/>
  <c r="Q675" i="22"/>
  <c r="P675" i="22"/>
  <c r="P674" i="22" s="1"/>
  <c r="O675" i="22"/>
  <c r="O674" i="22" s="1"/>
  <c r="N675" i="22"/>
  <c r="N674" i="22" s="1"/>
  <c r="Q674" i="22"/>
  <c r="M674" i="22"/>
  <c r="L674" i="22"/>
  <c r="R672" i="22"/>
  <c r="R671" i="22" s="1"/>
  <c r="Q672" i="22"/>
  <c r="Q671" i="22" s="1"/>
  <c r="N672" i="22"/>
  <c r="N671" i="22" s="1"/>
  <c r="J670" i="22"/>
  <c r="J669" i="22" s="1"/>
  <c r="J668" i="22" s="1"/>
  <c r="R669" i="22"/>
  <c r="R668" i="22" s="1"/>
  <c r="Q669" i="22"/>
  <c r="Q668" i="22" s="1"/>
  <c r="P669" i="22"/>
  <c r="P668" i="22" s="1"/>
  <c r="O669" i="22"/>
  <c r="O668" i="22" s="1"/>
  <c r="N669" i="22"/>
  <c r="N668" i="22" s="1"/>
  <c r="R666" i="22"/>
  <c r="R665" i="22" s="1"/>
  <c r="Q666" i="22"/>
  <c r="Q665" i="22" s="1"/>
  <c r="P666" i="22"/>
  <c r="P665" i="22" s="1"/>
  <c r="O666" i="22"/>
  <c r="O665" i="22" s="1"/>
  <c r="N666" i="22"/>
  <c r="N665" i="22" s="1"/>
  <c r="J666" i="22"/>
  <c r="J665" i="22" s="1"/>
  <c r="R663" i="22"/>
  <c r="R662" i="22" s="1"/>
  <c r="Q663" i="22"/>
  <c r="Q662" i="22" s="1"/>
  <c r="P663" i="22"/>
  <c r="P662" i="22" s="1"/>
  <c r="O663" i="22"/>
  <c r="O662" i="22" s="1"/>
  <c r="N663" i="22"/>
  <c r="N662" i="22" s="1"/>
  <c r="J663" i="22"/>
  <c r="J662" i="22" s="1"/>
  <c r="R660" i="22"/>
  <c r="Q660" i="22"/>
  <c r="P660" i="22"/>
  <c r="O660" i="22"/>
  <c r="N660" i="22"/>
  <c r="M660" i="22"/>
  <c r="L660" i="22"/>
  <c r="K660" i="22"/>
  <c r="J660" i="22"/>
  <c r="J656" i="22" s="1"/>
  <c r="R658" i="22"/>
  <c r="Q658" i="22"/>
  <c r="P658" i="22"/>
  <c r="O658" i="22"/>
  <c r="J640" i="22"/>
  <c r="J639" i="22" s="1"/>
  <c r="J635" i="22" s="1"/>
  <c r="J634" i="22" s="1"/>
  <c r="R639" i="22"/>
  <c r="R635" i="22" s="1"/>
  <c r="R634" i="22" s="1"/>
  <c r="Q639" i="22"/>
  <c r="Q635" i="22" s="1"/>
  <c r="Q634" i="22" s="1"/>
  <c r="P639" i="22"/>
  <c r="P635" i="22" s="1"/>
  <c r="P634" i="22" s="1"/>
  <c r="O639" i="22"/>
  <c r="O635" i="22" s="1"/>
  <c r="O634" i="22" s="1"/>
  <c r="M635" i="22"/>
  <c r="M634" i="22" s="1"/>
  <c r="L635" i="22"/>
  <c r="L634" i="22" s="1"/>
  <c r="R632" i="22"/>
  <c r="R630" i="22" s="1"/>
  <c r="Q632" i="22"/>
  <c r="Q630" i="22" s="1"/>
  <c r="P632" i="22"/>
  <c r="P630" i="22" s="1"/>
  <c r="O632" i="22"/>
  <c r="O630" i="22" s="1"/>
  <c r="J632" i="22"/>
  <c r="J630" i="22" s="1"/>
  <c r="M630" i="22"/>
  <c r="L630" i="22"/>
  <c r="R628" i="22"/>
  <c r="R627" i="22" s="1"/>
  <c r="Q628" i="22"/>
  <c r="Q627" i="22" s="1"/>
  <c r="N628" i="22"/>
  <c r="N627" i="22" s="1"/>
  <c r="N625" i="22"/>
  <c r="R621" i="22"/>
  <c r="R619" i="22" s="1"/>
  <c r="Q621" i="22"/>
  <c r="Q619" i="22" s="1"/>
  <c r="N621" i="22"/>
  <c r="R613" i="22"/>
  <c r="R612" i="22" s="1"/>
  <c r="Q613" i="22"/>
  <c r="Q612" i="22" s="1"/>
  <c r="P613" i="22"/>
  <c r="P612" i="22" s="1"/>
  <c r="O613" i="22"/>
  <c r="O612" i="22" s="1"/>
  <c r="N613" i="22"/>
  <c r="N612" i="22" s="1"/>
  <c r="J613" i="22"/>
  <c r="J612" i="22" s="1"/>
  <c r="M612" i="22"/>
  <c r="L612" i="22"/>
  <c r="R610" i="22"/>
  <c r="R609" i="22" s="1"/>
  <c r="Q610" i="22"/>
  <c r="Q609" i="22" s="1"/>
  <c r="P610" i="22"/>
  <c r="P609" i="22" s="1"/>
  <c r="O610" i="22"/>
  <c r="O609" i="22" s="1"/>
  <c r="N610" i="22"/>
  <c r="N609" i="22" s="1"/>
  <c r="J610" i="22"/>
  <c r="J609" i="22" s="1"/>
  <c r="M609" i="22"/>
  <c r="L609" i="22"/>
  <c r="R603" i="22"/>
  <c r="Q603" i="22"/>
  <c r="P603" i="22"/>
  <c r="O603" i="22"/>
  <c r="N603" i="22"/>
  <c r="J603" i="22"/>
  <c r="J599" i="22"/>
  <c r="J598" i="22" s="1"/>
  <c r="J596" i="22" s="1"/>
  <c r="R598" i="22"/>
  <c r="R596" i="22" s="1"/>
  <c r="Q598" i="22"/>
  <c r="Q596" i="22" s="1"/>
  <c r="P598" i="22"/>
  <c r="P596" i="22" s="1"/>
  <c r="O598" i="22"/>
  <c r="O596" i="22" s="1"/>
  <c r="N598" i="22"/>
  <c r="M596" i="22"/>
  <c r="L596" i="22"/>
  <c r="N593" i="22"/>
  <c r="N592" i="22" s="1"/>
  <c r="R590" i="22"/>
  <c r="R588" i="22" s="1"/>
  <c r="Q590" i="22"/>
  <c r="Q588" i="22" s="1"/>
  <c r="P590" i="22"/>
  <c r="P588" i="22" s="1"/>
  <c r="O590" i="22"/>
  <c r="O588" i="22" s="1"/>
  <c r="N590" i="22"/>
  <c r="M590" i="22"/>
  <c r="L590" i="22"/>
  <c r="K590" i="22"/>
  <c r="J590" i="22"/>
  <c r="J588" i="22" s="1"/>
  <c r="R582" i="22"/>
  <c r="R587" i="22" s="1"/>
  <c r="R586" i="22" s="1"/>
  <c r="Q582" i="22"/>
  <c r="Q587" i="22" s="1"/>
  <c r="Q586" i="22" s="1"/>
  <c r="P582" i="22"/>
  <c r="P587" i="22" s="1"/>
  <c r="P586" i="22" s="1"/>
  <c r="O582" i="22"/>
  <c r="O587" i="22" s="1"/>
  <c r="O586" i="22" s="1"/>
  <c r="N580" i="22"/>
  <c r="J581" i="22"/>
  <c r="J580" i="22" s="1"/>
  <c r="R580" i="22"/>
  <c r="Q580" i="22"/>
  <c r="P580" i="22"/>
  <c r="O580" i="22"/>
  <c r="N578" i="22"/>
  <c r="R575" i="22"/>
  <c r="Q575" i="22"/>
  <c r="P575" i="22"/>
  <c r="O575" i="22"/>
  <c r="N575" i="22"/>
  <c r="J575" i="22"/>
  <c r="R573" i="22"/>
  <c r="Q573" i="22"/>
  <c r="P573" i="22"/>
  <c r="P568" i="22" s="1"/>
  <c r="O573" i="22"/>
  <c r="O568" i="22" s="1"/>
  <c r="J573" i="22"/>
  <c r="J568" i="22" s="1"/>
  <c r="M568" i="22"/>
  <c r="M565" i="22" s="1"/>
  <c r="L568" i="22"/>
  <c r="L565" i="22" s="1"/>
  <c r="R567" i="22"/>
  <c r="R566" i="22" s="1"/>
  <c r="R565" i="22" s="1"/>
  <c r="Q567" i="22"/>
  <c r="Q566" i="22" s="1"/>
  <c r="Q565" i="22" s="1"/>
  <c r="P567" i="22"/>
  <c r="P566" i="22" s="1"/>
  <c r="P565" i="22" s="1"/>
  <c r="O567" i="22"/>
  <c r="O566" i="22" s="1"/>
  <c r="O565" i="22" s="1"/>
  <c r="J564" i="22"/>
  <c r="J563" i="22" s="1"/>
  <c r="J561" i="22" s="1"/>
  <c r="J560" i="22" s="1"/>
  <c r="J559" i="22" s="1"/>
  <c r="R563" i="22"/>
  <c r="R561" i="22" s="1"/>
  <c r="R560" i="22" s="1"/>
  <c r="R559" i="22" s="1"/>
  <c r="Q563" i="22"/>
  <c r="Q561" i="22" s="1"/>
  <c r="Q560" i="22" s="1"/>
  <c r="Q559" i="22" s="1"/>
  <c r="P563" i="22"/>
  <c r="P561" i="22" s="1"/>
  <c r="P560" i="22" s="1"/>
  <c r="P559" i="22" s="1"/>
  <c r="O563" i="22"/>
  <c r="O561" i="22" s="1"/>
  <c r="O560" i="22" s="1"/>
  <c r="O559" i="22" s="1"/>
  <c r="N563" i="22"/>
  <c r="M561" i="22"/>
  <c r="L561" i="22"/>
  <c r="R558" i="22"/>
  <c r="R557" i="22" s="1"/>
  <c r="R556" i="22" s="1"/>
  <c r="R555" i="22" s="1"/>
  <c r="R554" i="22" s="1"/>
  <c r="Q558" i="22"/>
  <c r="Q557" i="22" s="1"/>
  <c r="Q556" i="22" s="1"/>
  <c r="Q555" i="22" s="1"/>
  <c r="Q554" i="22" s="1"/>
  <c r="N558" i="22"/>
  <c r="N557" i="22" s="1"/>
  <c r="N556" i="22" s="1"/>
  <c r="N555" i="22" s="1"/>
  <c r="N554" i="22" s="1"/>
  <c r="P557" i="22"/>
  <c r="P556" i="22" s="1"/>
  <c r="P555" i="22" s="1"/>
  <c r="P554" i="22" s="1"/>
  <c r="P474" i="22" s="1"/>
  <c r="O557" i="22"/>
  <c r="O556" i="22" s="1"/>
  <c r="O555" i="22" s="1"/>
  <c r="O554" i="22" s="1"/>
  <c r="O474" i="22" s="1"/>
  <c r="O481" i="22" s="1"/>
  <c r="R552" i="22"/>
  <c r="R551" i="22" s="1"/>
  <c r="R550" i="22" s="1"/>
  <c r="R549" i="22" s="1"/>
  <c r="Q552" i="22"/>
  <c r="Q551" i="22" s="1"/>
  <c r="Q550" i="22" s="1"/>
  <c r="Q549" i="22" s="1"/>
  <c r="P552" i="22"/>
  <c r="P551" i="22" s="1"/>
  <c r="P550" i="22" s="1"/>
  <c r="P549" i="22" s="1"/>
  <c r="O552" i="22"/>
  <c r="O551" i="22" s="1"/>
  <c r="O550" i="22" s="1"/>
  <c r="O549" i="22" s="1"/>
  <c r="N552" i="22"/>
  <c r="N551" i="22" s="1"/>
  <c r="N550" i="22" s="1"/>
  <c r="N549" i="22" s="1"/>
  <c r="J552" i="22"/>
  <c r="J551" i="22" s="1"/>
  <c r="J550" i="22" s="1"/>
  <c r="J549" i="22" s="1"/>
  <c r="M551" i="22"/>
  <c r="M550" i="22" s="1"/>
  <c r="M549" i="22" s="1"/>
  <c r="L551" i="22"/>
  <c r="L550" i="22" s="1"/>
  <c r="L549" i="22" s="1"/>
  <c r="J548" i="22"/>
  <c r="J547" i="22" s="1"/>
  <c r="R547" i="22"/>
  <c r="Q547" i="22"/>
  <c r="P547" i="22"/>
  <c r="O547" i="22"/>
  <c r="M545" i="22"/>
  <c r="L545" i="22"/>
  <c r="J545" i="22"/>
  <c r="R544" i="22"/>
  <c r="Q544" i="22"/>
  <c r="P544" i="22"/>
  <c r="O544" i="22"/>
  <c r="N544" i="22"/>
  <c r="M544" i="22"/>
  <c r="M543" i="22" s="1"/>
  <c r="L544" i="22"/>
  <c r="L543" i="22" s="1"/>
  <c r="J544" i="22"/>
  <c r="P541" i="22"/>
  <c r="O541" i="22"/>
  <c r="P539" i="22"/>
  <c r="O539" i="22"/>
  <c r="J539" i="22"/>
  <c r="R536" i="22"/>
  <c r="R535" i="22" s="1"/>
  <c r="Q536" i="22"/>
  <c r="Q535" i="22" s="1"/>
  <c r="P536" i="22"/>
  <c r="P535" i="22" s="1"/>
  <c r="O536" i="22"/>
  <c r="O535" i="22" s="1"/>
  <c r="N536" i="22"/>
  <c r="N535" i="22" s="1"/>
  <c r="J536" i="22"/>
  <c r="J535" i="22" s="1"/>
  <c r="M535" i="22"/>
  <c r="L535" i="22"/>
  <c r="R533" i="22"/>
  <c r="R531" i="22" s="1"/>
  <c r="Q533" i="22"/>
  <c r="Q531" i="22" s="1"/>
  <c r="P533" i="22"/>
  <c r="P531" i="22" s="1"/>
  <c r="O533" i="22"/>
  <c r="O531" i="22" s="1"/>
  <c r="N533" i="22"/>
  <c r="N531" i="22" s="1"/>
  <c r="J533" i="22"/>
  <c r="J531" i="22" s="1"/>
  <c r="M531" i="22"/>
  <c r="L531" i="22"/>
  <c r="R529" i="22"/>
  <c r="R528" i="22" s="1"/>
  <c r="Q529" i="22"/>
  <c r="Q528" i="22" s="1"/>
  <c r="P529" i="22"/>
  <c r="P528" i="22" s="1"/>
  <c r="O529" i="22"/>
  <c r="O528" i="22" s="1"/>
  <c r="N529" i="22"/>
  <c r="N528" i="22" s="1"/>
  <c r="J529" i="22"/>
  <c r="J528" i="22" s="1"/>
  <c r="M528" i="22"/>
  <c r="L528" i="22"/>
  <c r="R526" i="22"/>
  <c r="R525" i="22" s="1"/>
  <c r="R524" i="22" s="1"/>
  <c r="R523" i="22" s="1"/>
  <c r="Q526" i="22"/>
  <c r="Q525" i="22" s="1"/>
  <c r="Q524" i="22" s="1"/>
  <c r="Q523" i="22" s="1"/>
  <c r="P526" i="22"/>
  <c r="P525" i="22" s="1"/>
  <c r="P524" i="22" s="1"/>
  <c r="P523" i="22" s="1"/>
  <c r="O526" i="22"/>
  <c r="O525" i="22" s="1"/>
  <c r="O524" i="22" s="1"/>
  <c r="O523" i="22" s="1"/>
  <c r="N526" i="22"/>
  <c r="N525" i="22" s="1"/>
  <c r="N524" i="22" s="1"/>
  <c r="N523" i="22" s="1"/>
  <c r="J526" i="22"/>
  <c r="J525" i="22" s="1"/>
  <c r="J524" i="22" s="1"/>
  <c r="J523" i="22" s="1"/>
  <c r="M525" i="22"/>
  <c r="L525" i="22"/>
  <c r="R521" i="22"/>
  <c r="R520" i="22" s="1"/>
  <c r="Q521" i="22"/>
  <c r="Q520" i="22" s="1"/>
  <c r="P521" i="22"/>
  <c r="P520" i="22" s="1"/>
  <c r="O521" i="22"/>
  <c r="O520" i="22" s="1"/>
  <c r="N521" i="22"/>
  <c r="N520" i="22" s="1"/>
  <c r="J521" i="22"/>
  <c r="J520" i="22" s="1"/>
  <c r="R514" i="22"/>
  <c r="R512" i="22" s="1"/>
  <c r="Q514" i="22"/>
  <c r="Q512" i="22" s="1"/>
  <c r="P514" i="22"/>
  <c r="P512" i="22" s="1"/>
  <c r="O514" i="22"/>
  <c r="O512" i="22" s="1"/>
  <c r="N514" i="22"/>
  <c r="J514" i="22"/>
  <c r="J512" i="22" s="1"/>
  <c r="R510" i="22"/>
  <c r="R508" i="22" s="1"/>
  <c r="Q510" i="22"/>
  <c r="Q508" i="22" s="1"/>
  <c r="P510" i="22"/>
  <c r="P508" i="22" s="1"/>
  <c r="O510" i="22"/>
  <c r="O508" i="22" s="1"/>
  <c r="N510" i="22"/>
  <c r="J510" i="22"/>
  <c r="J508" i="22" s="1"/>
  <c r="R507" i="22"/>
  <c r="Q507" i="22"/>
  <c r="P507" i="22"/>
  <c r="O507" i="22"/>
  <c r="M507" i="22"/>
  <c r="L507" i="22"/>
  <c r="J507" i="22"/>
  <c r="L505" i="22"/>
  <c r="M505" i="22" s="1"/>
  <c r="N497" i="22"/>
  <c r="N507" i="22"/>
  <c r="R495" i="22"/>
  <c r="Q495" i="22"/>
  <c r="P495" i="22"/>
  <c r="O495" i="22"/>
  <c r="J495" i="22"/>
  <c r="J492" i="22"/>
  <c r="J491" i="22" s="1"/>
  <c r="R491" i="22"/>
  <c r="Q491" i="22"/>
  <c r="P491" i="22"/>
  <c r="O491" i="22"/>
  <c r="N491" i="22"/>
  <c r="R490" i="22"/>
  <c r="Q490" i="22"/>
  <c r="P490" i="22"/>
  <c r="O490" i="22"/>
  <c r="N490" i="22"/>
  <c r="N489" i="22" s="1"/>
  <c r="M490" i="22"/>
  <c r="L490" i="22"/>
  <c r="J488" i="22"/>
  <c r="J486" i="22"/>
  <c r="R485" i="22"/>
  <c r="Q485" i="22"/>
  <c r="P485" i="22"/>
  <c r="O485" i="22"/>
  <c r="M485" i="22"/>
  <c r="M482" i="22" s="1"/>
  <c r="L485" i="22"/>
  <c r="L482" i="22" s="1"/>
  <c r="R483" i="22"/>
  <c r="Q483" i="22"/>
  <c r="R482" i="22"/>
  <c r="Q482" i="22"/>
  <c r="R481" i="22"/>
  <c r="Q481" i="22"/>
  <c r="R479" i="22"/>
  <c r="R477" i="22" s="1"/>
  <c r="R476" i="22" s="1"/>
  <c r="R475" i="22" s="1"/>
  <c r="Q479" i="22"/>
  <c r="Q477" i="22" s="1"/>
  <c r="Q476" i="22" s="1"/>
  <c r="Q475" i="22" s="1"/>
  <c r="N479" i="22"/>
  <c r="N453" i="22"/>
  <c r="N452" i="22" s="1"/>
  <c r="N451" i="22" s="1"/>
  <c r="N450" i="22" s="1"/>
  <c r="N446" i="22"/>
  <c r="N445" i="22" s="1"/>
  <c r="N444" i="22" s="1"/>
  <c r="N443" i="22" s="1"/>
  <c r="N442" i="22" s="1"/>
  <c r="R435" i="22"/>
  <c r="R434" i="22" s="1"/>
  <c r="R433" i="22" s="1"/>
  <c r="R432" i="22" s="1"/>
  <c r="Q435" i="22"/>
  <c r="Q434" i="22" s="1"/>
  <c r="Q433" i="22" s="1"/>
  <c r="Q432" i="22" s="1"/>
  <c r="P435" i="22"/>
  <c r="P434" i="22" s="1"/>
  <c r="P433" i="22" s="1"/>
  <c r="P432" i="22" s="1"/>
  <c r="O435" i="22"/>
  <c r="O434" i="22" s="1"/>
  <c r="O433" i="22" s="1"/>
  <c r="O432" i="22" s="1"/>
  <c r="N435" i="22"/>
  <c r="N434" i="22" s="1"/>
  <c r="N433" i="22" s="1"/>
  <c r="N432" i="22" s="1"/>
  <c r="J435" i="22"/>
  <c r="J434" i="22" s="1"/>
  <c r="J433" i="22" s="1"/>
  <c r="J432" i="22" s="1"/>
  <c r="M434" i="22"/>
  <c r="M432" i="22" s="1"/>
  <c r="L434" i="22"/>
  <c r="L432" i="22" s="1"/>
  <c r="R428" i="22"/>
  <c r="R427" i="22" s="1"/>
  <c r="R426" i="22" s="1"/>
  <c r="R425" i="22" s="1"/>
  <c r="R424" i="22" s="1"/>
  <c r="Q428" i="22"/>
  <c r="Q427" i="22" s="1"/>
  <c r="Q426" i="22" s="1"/>
  <c r="Q425" i="22" s="1"/>
  <c r="Q424" i="22" s="1"/>
  <c r="N427" i="22"/>
  <c r="N426" i="22" s="1"/>
  <c r="N425" i="22" s="1"/>
  <c r="N424" i="22" s="1"/>
  <c r="N418" i="22" s="1"/>
  <c r="R422" i="22"/>
  <c r="R421" i="22" s="1"/>
  <c r="R420" i="22" s="1"/>
  <c r="R419" i="22" s="1"/>
  <c r="Q422" i="22"/>
  <c r="Q421" i="22" s="1"/>
  <c r="Q420" i="22" s="1"/>
  <c r="Q419" i="22" s="1"/>
  <c r="N390" i="22"/>
  <c r="N389" i="22" s="1"/>
  <c r="N388" i="22" s="1"/>
  <c r="N387" i="22" s="1"/>
  <c r="N386" i="22" s="1"/>
  <c r="N384" i="22"/>
  <c r="N383" i="22" s="1"/>
  <c r="N382" i="22" s="1"/>
  <c r="N381" i="22" s="1"/>
  <c r="N380" i="22" s="1"/>
  <c r="N378" i="22"/>
  <c r="N377" i="22" s="1"/>
  <c r="N376" i="22" s="1"/>
  <c r="N375" i="22" s="1"/>
  <c r="N374" i="22" s="1"/>
  <c r="N373" i="22"/>
  <c r="N366" i="22"/>
  <c r="N365" i="22" s="1"/>
  <c r="Q366" i="22"/>
  <c r="P366" i="22"/>
  <c r="O366" i="22"/>
  <c r="R366" i="22"/>
  <c r="N363" i="22"/>
  <c r="R363" i="22"/>
  <c r="R360" i="22" s="1"/>
  <c r="Q363" i="22"/>
  <c r="Q360" i="22" s="1"/>
  <c r="P363" i="22"/>
  <c r="P360" i="22" s="1"/>
  <c r="O363" i="22"/>
  <c r="O360" i="22" s="1"/>
  <c r="N361" i="22"/>
  <c r="R354" i="22"/>
  <c r="Q354" i="22"/>
  <c r="N354" i="22"/>
  <c r="N353" i="22" s="1"/>
  <c r="R350" i="22"/>
  <c r="Q350" i="22"/>
  <c r="P350" i="22"/>
  <c r="P348" i="22" s="1"/>
  <c r="O350" i="22"/>
  <c r="O348" i="22" s="1"/>
  <c r="N350" i="22"/>
  <c r="J350" i="22"/>
  <c r="J348" i="22" s="1"/>
  <c r="M348" i="22"/>
  <c r="L348" i="22"/>
  <c r="N344" i="22"/>
  <c r="R344" i="22"/>
  <c r="Q344" i="22"/>
  <c r="P344" i="22"/>
  <c r="O344" i="22"/>
  <c r="M344" i="22"/>
  <c r="L344" i="22"/>
  <c r="J344" i="22"/>
  <c r="R341" i="22"/>
  <c r="R340" i="22" s="1"/>
  <c r="R338" i="22" s="1"/>
  <c r="N340" i="22"/>
  <c r="R333" i="22"/>
  <c r="R331" i="22" s="1"/>
  <c r="R329" i="22" s="1"/>
  <c r="R328" i="22" s="1"/>
  <c r="N331" i="22"/>
  <c r="N329" i="22" s="1"/>
  <c r="N328" i="22" s="1"/>
  <c r="Q331" i="22"/>
  <c r="Q329" i="22" s="1"/>
  <c r="Q328" i="22" s="1"/>
  <c r="Q327" i="22" s="1"/>
  <c r="P331" i="22"/>
  <c r="P329" i="22" s="1"/>
  <c r="P328" i="22" s="1"/>
  <c r="P327" i="22" s="1"/>
  <c r="O331" i="22"/>
  <c r="O329" i="22" s="1"/>
  <c r="O328" i="22" s="1"/>
  <c r="O327" i="22" s="1"/>
  <c r="J331" i="22"/>
  <c r="J329" i="22" s="1"/>
  <c r="J328" i="22" s="1"/>
  <c r="J327" i="22" s="1"/>
  <c r="M329" i="22"/>
  <c r="M327" i="22" s="1"/>
  <c r="L329" i="22"/>
  <c r="L327" i="22" s="1"/>
  <c r="R325" i="22"/>
  <c r="R323" i="22" s="1"/>
  <c r="R319" i="22" s="1"/>
  <c r="Q325" i="22"/>
  <c r="Q323" i="22" s="1"/>
  <c r="Q319" i="22" s="1"/>
  <c r="P325" i="22"/>
  <c r="P323" i="22" s="1"/>
  <c r="P319" i="22" s="1"/>
  <c r="O325" i="22"/>
  <c r="O323" i="22" s="1"/>
  <c r="O319" i="22" s="1"/>
  <c r="N325" i="22"/>
  <c r="J325" i="22"/>
  <c r="J323" i="22" s="1"/>
  <c r="J319" i="22" s="1"/>
  <c r="J318" i="22" s="1"/>
  <c r="R321" i="22"/>
  <c r="R320" i="22" s="1"/>
  <c r="Q321" i="22"/>
  <c r="Q320" i="22" s="1"/>
  <c r="P321" i="22"/>
  <c r="P320" i="22" s="1"/>
  <c r="O321" i="22"/>
  <c r="O320" i="22" s="1"/>
  <c r="N321" i="22"/>
  <c r="N320" i="22" s="1"/>
  <c r="M319" i="22"/>
  <c r="M318" i="22" s="1"/>
  <c r="L319" i="22"/>
  <c r="L318" i="22" s="1"/>
  <c r="R318" i="22"/>
  <c r="Q318" i="22"/>
  <c r="P318" i="22"/>
  <c r="O318" i="22"/>
  <c r="R316" i="22"/>
  <c r="R314" i="22" s="1"/>
  <c r="Q316" i="22"/>
  <c r="Q314" i="22" s="1"/>
  <c r="P316" i="22"/>
  <c r="P314" i="22" s="1"/>
  <c r="O316" i="22"/>
  <c r="O314" i="22" s="1"/>
  <c r="N316" i="22"/>
  <c r="J316" i="22"/>
  <c r="J314" i="22" s="1"/>
  <c r="R312" i="22"/>
  <c r="R310" i="22" s="1"/>
  <c r="Q312" i="22"/>
  <c r="Q310" i="22" s="1"/>
  <c r="P312" i="22"/>
  <c r="P310" i="22" s="1"/>
  <c r="O312" i="22"/>
  <c r="O310" i="22" s="1"/>
  <c r="N312" i="22"/>
  <c r="J312" i="22"/>
  <c r="J310" i="22" s="1"/>
  <c r="L309" i="22"/>
  <c r="R307" i="22"/>
  <c r="R305" i="22" s="1"/>
  <c r="Q307" i="22"/>
  <c r="Q305" i="22" s="1"/>
  <c r="P307" i="22"/>
  <c r="P305" i="22" s="1"/>
  <c r="O307" i="22"/>
  <c r="O305" i="22" s="1"/>
  <c r="N307" i="22"/>
  <c r="L307" i="22"/>
  <c r="L301" i="22" s="1"/>
  <c r="L299" i="22" s="1"/>
  <c r="J307" i="22"/>
  <c r="J305" i="22" s="1"/>
  <c r="R303" i="22"/>
  <c r="R301" i="22" s="1"/>
  <c r="Q303" i="22"/>
  <c r="Q301" i="22" s="1"/>
  <c r="P303" i="22"/>
  <c r="P301" i="22" s="1"/>
  <c r="O303" i="22"/>
  <c r="O301" i="22" s="1"/>
  <c r="J303" i="22"/>
  <c r="J301" i="22" s="1"/>
  <c r="M301" i="22"/>
  <c r="M299" i="22" s="1"/>
  <c r="R300" i="22"/>
  <c r="R299" i="22" s="1"/>
  <c r="Q300" i="22"/>
  <c r="Q299" i="22" s="1"/>
  <c r="P300" i="22"/>
  <c r="P299" i="22" s="1"/>
  <c r="O300" i="22"/>
  <c r="O299" i="22" s="1"/>
  <c r="J300" i="22"/>
  <c r="J299" i="22" s="1"/>
  <c r="R296" i="22"/>
  <c r="R293" i="22" s="1"/>
  <c r="R292" i="22" s="1"/>
  <c r="R291" i="22" s="1"/>
  <c r="Q296" i="22"/>
  <c r="Q293" i="22" s="1"/>
  <c r="Q292" i="22" s="1"/>
  <c r="Q291" i="22" s="1"/>
  <c r="P296" i="22"/>
  <c r="P293" i="22" s="1"/>
  <c r="P292" i="22" s="1"/>
  <c r="P291" i="22" s="1"/>
  <c r="O296" i="22"/>
  <c r="O293" i="22" s="1"/>
  <c r="O292" i="22" s="1"/>
  <c r="O291" i="22" s="1"/>
  <c r="N296" i="22"/>
  <c r="N295" i="22" s="1"/>
  <c r="M293" i="22"/>
  <c r="M291" i="22" s="1"/>
  <c r="L293" i="22"/>
  <c r="L291" i="22" s="1"/>
  <c r="J293" i="22"/>
  <c r="J291" i="22" s="1"/>
  <c r="J292" i="22" s="1"/>
  <c r="R289" i="22"/>
  <c r="R287" i="22" s="1"/>
  <c r="R286" i="22" s="1"/>
  <c r="Q289" i="22"/>
  <c r="Q287" i="22" s="1"/>
  <c r="Q286" i="22" s="1"/>
  <c r="P289" i="22"/>
  <c r="P287" i="22" s="1"/>
  <c r="O289" i="22"/>
  <c r="O287" i="22" s="1"/>
  <c r="O286" i="22" s="1"/>
  <c r="N289" i="22"/>
  <c r="J289" i="22"/>
  <c r="J287" i="22" s="1"/>
  <c r="J281" i="22" s="1"/>
  <c r="M287" i="22"/>
  <c r="L287" i="22"/>
  <c r="R284" i="22"/>
  <c r="R282" i="22" s="1"/>
  <c r="R281" i="22" s="1"/>
  <c r="Q284" i="22"/>
  <c r="Q282" i="22" s="1"/>
  <c r="Q281" i="22" s="1"/>
  <c r="P284" i="22"/>
  <c r="P282" i="22" s="1"/>
  <c r="O284" i="22"/>
  <c r="O282" i="22" s="1"/>
  <c r="N284" i="22"/>
  <c r="R279" i="22"/>
  <c r="R278" i="22" s="1"/>
  <c r="R277" i="22" s="1"/>
  <c r="Q279" i="22"/>
  <c r="Q278" i="22" s="1"/>
  <c r="Q277" i="22" s="1"/>
  <c r="P279" i="22"/>
  <c r="P278" i="22" s="1"/>
  <c r="P277" i="22" s="1"/>
  <c r="O279" i="22"/>
  <c r="O278" i="22" s="1"/>
  <c r="O277" i="22" s="1"/>
  <c r="N279" i="22"/>
  <c r="N278" i="22" s="1"/>
  <c r="N277" i="22" s="1"/>
  <c r="J279" i="22"/>
  <c r="J278" i="22" s="1"/>
  <c r="M278" i="22"/>
  <c r="L278" i="22"/>
  <c r="R272" i="22"/>
  <c r="R270" i="22" s="1"/>
  <c r="R269" i="22" s="1"/>
  <c r="Q272" i="22"/>
  <c r="Q270" i="22" s="1"/>
  <c r="Q268" i="22" s="1"/>
  <c r="Q263" i="22" s="1"/>
  <c r="P272" i="22"/>
  <c r="P270" i="22" s="1"/>
  <c r="P268" i="22" s="1"/>
  <c r="P263" i="22" s="1"/>
  <c r="O272" i="22"/>
  <c r="O270" i="22" s="1"/>
  <c r="O269" i="22" s="1"/>
  <c r="N272" i="22"/>
  <c r="J272" i="22"/>
  <c r="J270" i="22" s="1"/>
  <c r="M270" i="22"/>
  <c r="M268" i="22" s="1"/>
  <c r="M263" i="22" s="1"/>
  <c r="L270" i="22"/>
  <c r="L268" i="22" s="1"/>
  <c r="L263" i="22" s="1"/>
  <c r="R266" i="22"/>
  <c r="R264" i="22" s="1"/>
  <c r="Q266" i="22"/>
  <c r="Q264" i="22" s="1"/>
  <c r="N266" i="22"/>
  <c r="M262" i="22"/>
  <c r="R261" i="22"/>
  <c r="Q261" i="22"/>
  <c r="P261" i="22"/>
  <c r="O261" i="22"/>
  <c r="N261" i="22"/>
  <c r="N260" i="22" s="1"/>
  <c r="J261" i="22"/>
  <c r="R258" i="22"/>
  <c r="Q258" i="22"/>
  <c r="P258" i="22"/>
  <c r="O258" i="22"/>
  <c r="N258" i="22"/>
  <c r="N257" i="22" s="1"/>
  <c r="L258" i="22"/>
  <c r="L262" i="22" s="1"/>
  <c r="J258" i="22"/>
  <c r="R255" i="22"/>
  <c r="Q255" i="22"/>
  <c r="P255" i="22"/>
  <c r="O255" i="22"/>
  <c r="N255" i="22"/>
  <c r="N254" i="22" s="1"/>
  <c r="J255" i="22"/>
  <c r="M253" i="22"/>
  <c r="M251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L188" i="22" s="1"/>
  <c r="J189" i="22"/>
  <c r="J188" i="22" s="1"/>
  <c r="O188" i="22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R173" i="22" s="1"/>
  <c r="Q174" i="22"/>
  <c r="Q173" i="22" s="1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O162" i="22" s="1"/>
  <c r="O161" i="22" s="1"/>
  <c r="O160" i="22" s="1"/>
  <c r="O159" i="22" s="1"/>
  <c r="N164" i="22"/>
  <c r="N162" i="22" s="1"/>
  <c r="N161" i="22" s="1"/>
  <c r="N160" i="22" s="1"/>
  <c r="N159" i="22" s="1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R137" i="22" s="1"/>
  <c r="Q138" i="22"/>
  <c r="Q137" i="22" s="1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R118" i="22" s="1"/>
  <c r="R112" i="22" s="1"/>
  <c r="Q119" i="22"/>
  <c r="Q118" i="22" s="1"/>
  <c r="Q112" i="22" s="1"/>
  <c r="P119" i="22"/>
  <c r="O119" i="22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R104" i="22" s="1"/>
  <c r="Q105" i="22"/>
  <c r="Q104" i="22" s="1"/>
  <c r="P105" i="22"/>
  <c r="O105" i="22"/>
  <c r="N105" i="22"/>
  <c r="N104" i="22" s="1"/>
  <c r="M105" i="22"/>
  <c r="L105" i="22"/>
  <c r="L104" i="22" s="1"/>
  <c r="J105" i="22"/>
  <c r="J104" i="22" s="1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R71" i="22" s="1"/>
  <c r="R70" i="22" s="1"/>
  <c r="Q72" i="22"/>
  <c r="Q71" i="22" s="1"/>
  <c r="Q70" i="22" s="1"/>
  <c r="P72" i="22"/>
  <c r="P71" i="22" s="1"/>
  <c r="P70" i="22" s="1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I372" i="23" l="1"/>
  <c r="N482" i="23"/>
  <c r="N481" i="23" s="1"/>
  <c r="N310" i="22"/>
  <c r="N311" i="22"/>
  <c r="O118" i="22"/>
  <c r="O112" i="22" s="1"/>
  <c r="Y194" i="22"/>
  <c r="H169" i="23"/>
  <c r="H168" i="23" s="1"/>
  <c r="P118" i="22"/>
  <c r="P112" i="22" s="1"/>
  <c r="N338" i="22"/>
  <c r="N339" i="22"/>
  <c r="M104" i="22"/>
  <c r="M99" i="22" s="1"/>
  <c r="L123" i="22"/>
  <c r="O104" i="22"/>
  <c r="J99" i="22"/>
  <c r="M342" i="22"/>
  <c r="P78" i="22"/>
  <c r="P77" i="22" s="1"/>
  <c r="P76" i="22" s="1"/>
  <c r="P75" i="22" s="1"/>
  <c r="N77" i="22"/>
  <c r="N76" i="22" s="1"/>
  <c r="N75" i="22" s="1"/>
  <c r="J123" i="22"/>
  <c r="O123" i="22"/>
  <c r="O688" i="22"/>
  <c r="M123" i="22"/>
  <c r="Q123" i="22"/>
  <c r="N123" i="22"/>
  <c r="R123" i="22"/>
  <c r="P688" i="22"/>
  <c r="J269" i="22"/>
  <c r="J268" i="22"/>
  <c r="J263" i="22" s="1"/>
  <c r="P123" i="22"/>
  <c r="L99" i="22"/>
  <c r="N342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56" i="22"/>
  <c r="L33" i="22"/>
  <c r="L32" i="22" s="1"/>
  <c r="L31" i="22" s="1"/>
  <c r="J172" i="22"/>
  <c r="O656" i="22"/>
  <c r="N314" i="22"/>
  <c r="N315" i="22"/>
  <c r="N348" i="22"/>
  <c r="N349" i="22"/>
  <c r="P543" i="22"/>
  <c r="Q77" i="22"/>
  <c r="Q76" i="22" s="1"/>
  <c r="Q75" i="22" s="1"/>
  <c r="R77" i="22"/>
  <c r="R76" i="22" s="1"/>
  <c r="R75" i="22" s="1"/>
  <c r="L140" i="22"/>
  <c r="L136" i="22" s="1"/>
  <c r="J140" i="22"/>
  <c r="J136" i="22" s="1"/>
  <c r="M197" i="22"/>
  <c r="N218" i="22"/>
  <c r="N216" i="22" s="1"/>
  <c r="N220" i="22"/>
  <c r="N237" i="22"/>
  <c r="N232" i="22" s="1"/>
  <c r="N238" i="22"/>
  <c r="N630" i="22"/>
  <c r="N631" i="22"/>
  <c r="N539" i="22"/>
  <c r="N540" i="22"/>
  <c r="N323" i="22"/>
  <c r="N324" i="22"/>
  <c r="N477" i="22"/>
  <c r="N476" i="22" s="1"/>
  <c r="N475" i="22" s="1"/>
  <c r="N478" i="22"/>
  <c r="N508" i="22"/>
  <c r="N509" i="22"/>
  <c r="N512" i="22"/>
  <c r="N513" i="22"/>
  <c r="N577" i="22"/>
  <c r="N588" i="22"/>
  <c r="N589" i="22"/>
  <c r="N656" i="22"/>
  <c r="N657" i="22"/>
  <c r="N264" i="22"/>
  <c r="N252" i="22" s="1"/>
  <c r="N241" i="22" s="1"/>
  <c r="N265" i="22"/>
  <c r="N282" i="22"/>
  <c r="N281" i="22" s="1"/>
  <c r="N276" i="22" s="1"/>
  <c r="N283" i="22"/>
  <c r="N623" i="22"/>
  <c r="N624" i="22"/>
  <c r="N653" i="22"/>
  <c r="M77" i="22"/>
  <c r="M76" i="22" s="1"/>
  <c r="M75" i="22" s="1"/>
  <c r="N207" i="22"/>
  <c r="N206" i="22" s="1"/>
  <c r="N205" i="22" s="1"/>
  <c r="N197" i="22" s="1"/>
  <c r="N208" i="22"/>
  <c r="N270" i="22"/>
  <c r="N269" i="22" s="1"/>
  <c r="N268" i="22" s="1"/>
  <c r="N263" i="22" s="1"/>
  <c r="N271" i="22"/>
  <c r="N293" i="22"/>
  <c r="N292" i="22" s="1"/>
  <c r="N291" i="22" s="1"/>
  <c r="N330" i="22"/>
  <c r="N596" i="22"/>
  <c r="N597" i="22"/>
  <c r="N726" i="22"/>
  <c r="N727" i="22"/>
  <c r="N619" i="22"/>
  <c r="N620" i="22"/>
  <c r="N543" i="22"/>
  <c r="N546" i="22"/>
  <c r="N301" i="22"/>
  <c r="N302" i="22"/>
  <c r="N305" i="22"/>
  <c r="N306" i="22"/>
  <c r="U466" i="23"/>
  <c r="U465" i="23" s="1"/>
  <c r="U464" i="23" s="1"/>
  <c r="U463" i="23" s="1"/>
  <c r="U462" i="23" s="1"/>
  <c r="R474" i="22"/>
  <c r="R473" i="22" s="1"/>
  <c r="M474" i="22"/>
  <c r="N561" i="22"/>
  <c r="N560" i="22" s="1"/>
  <c r="N559" i="22" s="1"/>
  <c r="N562" i="22"/>
  <c r="L474" i="22"/>
  <c r="N287" i="22"/>
  <c r="N288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9" i="22"/>
  <c r="L172" i="22"/>
  <c r="O343" i="22"/>
  <c r="O342" i="22" s="1"/>
  <c r="L582" i="22"/>
  <c r="Q656" i="22"/>
  <c r="J699" i="22"/>
  <c r="R730" i="22"/>
  <c r="O730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53" i="22"/>
  <c r="L251" i="22" s="1"/>
  <c r="L241" i="22" s="1"/>
  <c r="O253" i="22"/>
  <c r="O251" i="22" s="1"/>
  <c r="O241" i="22" s="1"/>
  <c r="M298" i="22"/>
  <c r="L342" i="22"/>
  <c r="Q699" i="22"/>
  <c r="Q568" i="22"/>
  <c r="O181" i="22"/>
  <c r="O179" i="22" s="1"/>
  <c r="J253" i="22"/>
  <c r="J252" i="22" s="1"/>
  <c r="Q253" i="22"/>
  <c r="Q252" i="22" s="1"/>
  <c r="Q251" i="22" s="1"/>
  <c r="Q241" i="22" s="1"/>
  <c r="M276" i="22"/>
  <c r="M275" i="22" s="1"/>
  <c r="M582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98" i="22"/>
  <c r="O482" i="22"/>
  <c r="O483" i="22" s="1"/>
  <c r="R568" i="22"/>
  <c r="N688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98" i="22"/>
  <c r="Q418" i="22"/>
  <c r="P482" i="22"/>
  <c r="P483" i="22" s="1"/>
  <c r="Q730" i="22"/>
  <c r="P730" i="22"/>
  <c r="J158" i="22"/>
  <c r="J197" i="22"/>
  <c r="N140" i="22"/>
  <c r="N136" i="22" s="1"/>
  <c r="Q218" i="22"/>
  <c r="Q216" i="22" s="1"/>
  <c r="Q298" i="22"/>
  <c r="P343" i="22"/>
  <c r="P342" i="22" s="1"/>
  <c r="Q348" i="22"/>
  <c r="Q343" i="22" s="1"/>
  <c r="Q342" i="22" s="1"/>
  <c r="O543" i="22"/>
  <c r="N219" i="22"/>
  <c r="M228" i="22"/>
  <c r="P253" i="22"/>
  <c r="P252" i="22" s="1"/>
  <c r="R298" i="22"/>
  <c r="J567" i="22"/>
  <c r="J565" i="22" s="1"/>
  <c r="J181" i="22"/>
  <c r="J543" i="22"/>
  <c r="J730" i="22"/>
  <c r="P140" i="22"/>
  <c r="P136" i="22" s="1"/>
  <c r="L298" i="22"/>
  <c r="O359" i="22"/>
  <c r="O358" i="22" s="1"/>
  <c r="Q474" i="22"/>
  <c r="Q473" i="22" s="1"/>
  <c r="Q543" i="22"/>
  <c r="P656" i="22"/>
  <c r="N37" i="22"/>
  <c r="N36" i="22" s="1"/>
  <c r="N27" i="22" s="1"/>
  <c r="Q140" i="22"/>
  <c r="Q136" i="22" s="1"/>
  <c r="M140" i="22"/>
  <c r="M136" i="22" s="1"/>
  <c r="R253" i="22"/>
  <c r="R252" i="22" s="1"/>
  <c r="R251" i="22" s="1"/>
  <c r="R241" i="22" s="1"/>
  <c r="P359" i="22"/>
  <c r="P358" i="22" s="1"/>
  <c r="O473" i="22"/>
  <c r="J485" i="22"/>
  <c r="R543" i="22"/>
  <c r="J91" i="22"/>
  <c r="J90" i="22" s="1"/>
  <c r="R140" i="22"/>
  <c r="R136" i="22" s="1"/>
  <c r="P181" i="22"/>
  <c r="P179" i="22" s="1"/>
  <c r="R219" i="22"/>
  <c r="Q232" i="22"/>
  <c r="Q229" i="22" s="1"/>
  <c r="J298" i="22"/>
  <c r="J343" i="22"/>
  <c r="J342" i="22" s="1"/>
  <c r="Q359" i="22"/>
  <c r="Q358" i="22" s="1"/>
  <c r="J688" i="22"/>
  <c r="J582" i="22" s="1"/>
  <c r="J587" i="22" s="1"/>
  <c r="J586" i="22" s="1"/>
  <c r="Q688" i="22"/>
  <c r="R688" i="22"/>
  <c r="N730" i="22"/>
  <c r="M34" i="22"/>
  <c r="M33" i="22" s="1"/>
  <c r="M32" i="22" s="1"/>
  <c r="M31" i="22" s="1"/>
  <c r="O140" i="22"/>
  <c r="O136" i="22" s="1"/>
  <c r="R327" i="22"/>
  <c r="R348" i="22"/>
  <c r="R343" i="22" s="1"/>
  <c r="R342" i="22" s="1"/>
  <c r="R359" i="22"/>
  <c r="R358" i="22" s="1"/>
  <c r="Q158" i="22"/>
  <c r="Q276" i="22"/>
  <c r="Q275" i="22" s="1"/>
  <c r="N91" i="22"/>
  <c r="N90" i="22" s="1"/>
  <c r="P158" i="22"/>
  <c r="N158" i="22"/>
  <c r="O158" i="22"/>
  <c r="R197" i="22"/>
  <c r="R158" i="22"/>
  <c r="R276" i="22"/>
  <c r="R275" i="22" s="1"/>
  <c r="P281" i="22"/>
  <c r="P276" i="22" s="1"/>
  <c r="P275" i="22" s="1"/>
  <c r="P269" i="22"/>
  <c r="P286" i="22"/>
  <c r="R91" i="22"/>
  <c r="R90" i="22" s="1"/>
  <c r="P197" i="22"/>
  <c r="M91" i="22"/>
  <c r="M90" i="22" s="1"/>
  <c r="O197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68" i="22"/>
  <c r="O263" i="22" s="1"/>
  <c r="N298" i="22"/>
  <c r="N359" i="22"/>
  <c r="N358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9" i="22"/>
  <c r="L276" i="22"/>
  <c r="L275" i="22" s="1"/>
  <c r="J218" i="22"/>
  <c r="J216" i="22" s="1"/>
  <c r="R232" i="22"/>
  <c r="R229" i="22" s="1"/>
  <c r="R268" i="22"/>
  <c r="R263" i="22" s="1"/>
  <c r="O281" i="22"/>
  <c r="O276" i="22" s="1"/>
  <c r="O275" i="22" s="1"/>
  <c r="J277" i="22"/>
  <c r="J276" i="22" s="1"/>
  <c r="J275" i="22" s="1"/>
  <c r="N449" i="22"/>
  <c r="N448" i="22" s="1"/>
  <c r="P481" i="22"/>
  <c r="P473" i="22"/>
  <c r="R418" i="22"/>
  <c r="N573" i="22"/>
  <c r="N572" i="22" s="1"/>
  <c r="J490" i="22"/>
  <c r="N482" i="22" l="1"/>
  <c r="M180" i="22"/>
  <c r="M111" i="22"/>
  <c r="J89" i="22"/>
  <c r="J111" i="22"/>
  <c r="N275" i="22"/>
  <c r="H461" i="23"/>
  <c r="H460" i="23" s="1"/>
  <c r="U461" i="23"/>
  <c r="U460" i="23" s="1"/>
  <c r="Q111" i="22"/>
  <c r="N111" i="22"/>
  <c r="L111" i="22"/>
  <c r="R111" i="22"/>
  <c r="P111" i="22"/>
  <c r="O111" i="22"/>
  <c r="O252" i="22"/>
  <c r="L89" i="22"/>
  <c r="M89" i="22"/>
  <c r="N89" i="22"/>
  <c r="N26" i="22" s="1"/>
  <c r="N17" i="22" s="1"/>
  <c r="N481" i="22"/>
  <c r="N474" i="22" s="1"/>
  <c r="N473" i="22" s="1"/>
  <c r="Q89" i="22"/>
  <c r="O89" i="22"/>
  <c r="M196" i="22"/>
  <c r="I132" i="23"/>
  <c r="I131" i="23" s="1"/>
  <c r="I130" i="23" s="1"/>
  <c r="J251" i="22"/>
  <c r="J241" i="22" s="1"/>
  <c r="R89" i="22"/>
  <c r="P89" i="22"/>
  <c r="M473" i="22"/>
  <c r="L473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82" i="22"/>
  <c r="J483" i="22" s="1"/>
  <c r="P180" i="22"/>
  <c r="P251" i="22"/>
  <c r="P241" i="22" s="1"/>
  <c r="L228" i="22"/>
  <c r="L196" i="22" s="1"/>
  <c r="M27" i="22"/>
  <c r="Q228" i="22"/>
  <c r="Q196" i="22" s="1"/>
  <c r="Q195" i="22" s="1"/>
  <c r="J179" i="22"/>
  <c r="J180" i="22"/>
  <c r="Q179" i="22"/>
  <c r="O228" i="22"/>
  <c r="O196" i="22" s="1"/>
  <c r="O195" i="22" s="1"/>
  <c r="R179" i="22"/>
  <c r="N228" i="22"/>
  <c r="J19" i="23"/>
  <c r="V172" i="23"/>
  <c r="H165" i="23"/>
  <c r="N21" i="23"/>
  <c r="I19" i="23"/>
  <c r="R228" i="22"/>
  <c r="R196" i="22" s="1"/>
  <c r="R195" i="22" s="1"/>
  <c r="L37" i="22"/>
  <c r="L36" i="22" s="1"/>
  <c r="L27" i="22" s="1"/>
  <c r="N196" i="22" l="1"/>
  <c r="N195" i="22" s="1"/>
  <c r="J228" i="22"/>
  <c r="J196" i="22" s="1"/>
  <c r="J26" i="22"/>
  <c r="J17" i="22" s="1"/>
  <c r="O26" i="22"/>
  <c r="O17" i="22" s="1"/>
  <c r="M26" i="22"/>
  <c r="M18" i="22" s="1"/>
  <c r="P26" i="22"/>
  <c r="P17" i="22" s="1"/>
  <c r="L26" i="22"/>
  <c r="L18" i="22" s="1"/>
  <c r="R26" i="22"/>
  <c r="R17" i="22" s="1"/>
  <c r="J474" i="22"/>
  <c r="J481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20" i="23"/>
  <c r="N18" i="23" s="1"/>
  <c r="N19" i="23"/>
  <c r="X194" i="22" l="1"/>
  <c r="AB195" i="22"/>
  <c r="J473" i="22"/>
  <c r="J195" i="22" s="1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O379" i="21" s="1"/>
  <c r="O385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P430" i="21" s="1"/>
  <c r="O431" i="21"/>
  <c r="O430" i="21" s="1"/>
  <c r="N431" i="21"/>
  <c r="N430" i="21" s="1"/>
  <c r="J431" i="21"/>
  <c r="J430" i="21" s="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O179" i="21"/>
  <c r="O178" i="21" s="1"/>
  <c r="N179" i="21"/>
  <c r="N178" i="21" s="1"/>
  <c r="M179" i="21"/>
  <c r="M178" i="21" s="1"/>
  <c r="L179" i="21"/>
  <c r="L178" i="21" s="1"/>
  <c r="J179" i="21"/>
  <c r="J178" i="21" s="1"/>
  <c r="P178" i="21"/>
  <c r="R171" i="21"/>
  <c r="Q171" i="21"/>
  <c r="P171" i="21"/>
  <c r="O171" i="21"/>
  <c r="N171" i="21"/>
  <c r="N170" i="21" s="1"/>
  <c r="M171" i="21"/>
  <c r="L171" i="21"/>
  <c r="L170" i="21" s="1"/>
  <c r="J171" i="21"/>
  <c r="J170" i="21" s="1"/>
  <c r="R170" i="21"/>
  <c r="Q170" i="21"/>
  <c r="P170" i="21"/>
  <c r="O170" i="21"/>
  <c r="M170" i="21"/>
  <c r="R168" i="21"/>
  <c r="Q168" i="21"/>
  <c r="P168" i="21"/>
  <c r="O168" i="21"/>
  <c r="O167" i="21" s="1"/>
  <c r="N168" i="21"/>
  <c r="M168" i="21"/>
  <c r="M167" i="21" s="1"/>
  <c r="M166" i="21" s="1"/>
  <c r="L168" i="21"/>
  <c r="L167" i="21" s="1"/>
  <c r="J168" i="21"/>
  <c r="J167" i="21" s="1"/>
  <c r="R167" i="21"/>
  <c r="Q167" i="21"/>
  <c r="Q166" i="21" s="1"/>
  <c r="P167" i="21"/>
  <c r="N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R160" i="21" s="1"/>
  <c r="Q161" i="21"/>
  <c r="Q160" i="21" s="1"/>
  <c r="P161" i="21"/>
  <c r="P160" i="21" s="1"/>
  <c r="O161" i="21"/>
  <c r="O160" i="21" s="1"/>
  <c r="N161" i="21"/>
  <c r="N160" i="21" s="1"/>
  <c r="M161" i="21"/>
  <c r="M160" i="21" s="1"/>
  <c r="L161" i="21"/>
  <c r="L160" i="21" s="1"/>
  <c r="J161" i="21"/>
  <c r="J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N147" i="21" s="1"/>
  <c r="N146" i="21" s="1"/>
  <c r="N145" i="21" s="1"/>
  <c r="N144" i="21" s="1"/>
  <c r="M150" i="21"/>
  <c r="L150" i="21"/>
  <c r="J150" i="21"/>
  <c r="R147" i="21"/>
  <c r="Q147" i="21"/>
  <c r="P147" i="21"/>
  <c r="O147" i="21"/>
  <c r="M147" i="21"/>
  <c r="L147" i="21"/>
  <c r="J147" i="21"/>
  <c r="R146" i="21"/>
  <c r="Q146" i="21"/>
  <c r="Q145" i="21" s="1"/>
  <c r="Q144" i="21" s="1"/>
  <c r="P146" i="21"/>
  <c r="P145" i="21" s="1"/>
  <c r="P144" i="21" s="1"/>
  <c r="O146" i="21"/>
  <c r="O145" i="21" s="1"/>
  <c r="O144" i="21" s="1"/>
  <c r="M146" i="21"/>
  <c r="M145" i="21" s="1"/>
  <c r="M144" i="21" s="1"/>
  <c r="L146" i="21"/>
  <c r="L145" i="21" s="1"/>
  <c r="L144" i="21" s="1"/>
  <c r="J146" i="21"/>
  <c r="J145" i="21" s="1"/>
  <c r="J144" i="21" s="1"/>
  <c r="R145" i="21"/>
  <c r="R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O126" i="21"/>
  <c r="O125" i="21" s="1"/>
  <c r="N126" i="21"/>
  <c r="N125" i="21" s="1"/>
  <c r="M126" i="21"/>
  <c r="M125" i="21" s="1"/>
  <c r="L126" i="21"/>
  <c r="L125" i="21" s="1"/>
  <c r="J126" i="21"/>
  <c r="J125" i="21" s="1"/>
  <c r="P125" i="2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P106" i="21" s="1"/>
  <c r="O112" i="21"/>
  <c r="O106" i="21" s="1"/>
  <c r="N112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P99" i="21"/>
  <c r="O99" i="21"/>
  <c r="N99" i="21"/>
  <c r="M99" i="21"/>
  <c r="L99" i="21"/>
  <c r="J99" i="21"/>
  <c r="Q98" i="21"/>
  <c r="P98" i="21"/>
  <c r="O98" i="21"/>
  <c r="N98" i="21"/>
  <c r="M98" i="21"/>
  <c r="L98" i="21"/>
  <c r="J98" i="21"/>
  <c r="R96" i="21"/>
  <c r="R94" i="21" s="1"/>
  <c r="Q96" i="21"/>
  <c r="Q94" i="21" s="1"/>
  <c r="Q93" i="21" s="1"/>
  <c r="P96" i="21"/>
  <c r="O96" i="21"/>
  <c r="O94" i="21" s="1"/>
  <c r="O93" i="21" s="1"/>
  <c r="N96" i="21"/>
  <c r="N94" i="21" s="1"/>
  <c r="N93" i="21" s="1"/>
  <c r="M96" i="21"/>
  <c r="M94" i="21" s="1"/>
  <c r="M93" i="21" s="1"/>
  <c r="L96" i="21"/>
  <c r="L94" i="21" s="1"/>
  <c r="L93" i="21" s="1"/>
  <c r="J96" i="21"/>
  <c r="J94" i="21" s="1"/>
  <c r="P94" i="21"/>
  <c r="P93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P85" i="21" s="1"/>
  <c r="P84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M72" i="21" s="1"/>
  <c r="M71" i="21" s="1"/>
  <c r="M70" i="21" s="1"/>
  <c r="M69" i="21" s="1"/>
  <c r="L73" i="21"/>
  <c r="J73" i="21"/>
  <c r="R72" i="21"/>
  <c r="R71" i="21" s="1"/>
  <c r="R70" i="21" s="1"/>
  <c r="R69" i="21" s="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L72" i="21"/>
  <c r="L71" i="21" s="1"/>
  <c r="L70" i="21" s="1"/>
  <c r="L69" i="21" s="1"/>
  <c r="J72" i="21"/>
  <c r="J71" i="21" s="1"/>
  <c r="J70" i="21" s="1"/>
  <c r="J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M57" i="21"/>
  <c r="M56" i="21" s="1"/>
  <c r="M55" i="21" s="1"/>
  <c r="L57" i="21"/>
  <c r="L56" i="21" s="1"/>
  <c r="L55" i="21" s="1"/>
  <c r="J57" i="21"/>
  <c r="J56" i="21" s="1"/>
  <c r="J55" i="21" s="1"/>
  <c r="N56" i="21"/>
  <c r="N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Q49" i="21"/>
  <c r="Q48" i="21" s="1"/>
  <c r="P49" i="21"/>
  <c r="P48" i="21" s="1"/>
  <c r="O49" i="21"/>
  <c r="O48" i="21" s="1"/>
  <c r="N49" i="21"/>
  <c r="M49" i="21"/>
  <c r="M48" i="21" s="1"/>
  <c r="L49" i="21"/>
  <c r="L48" i="21" s="1"/>
  <c r="R48" i="21"/>
  <c r="N48" i="2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H184" i="20" s="1"/>
  <c r="H183" i="20" s="1"/>
  <c r="N184" i="20"/>
  <c r="N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J95" i="20"/>
  <c r="J94" i="20" s="1"/>
  <c r="J93" i="20" s="1"/>
  <c r="J92" i="20" s="1"/>
  <c r="I95" i="20"/>
  <c r="I94" i="20" s="1"/>
  <c r="I93" i="20" s="1"/>
  <c r="I92" i="20" s="1"/>
  <c r="N94" i="20"/>
  <c r="N93" i="20" s="1"/>
  <c r="N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U212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N50" i="18"/>
  <c r="N49" i="18" s="1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N72" i="21" l="1"/>
  <c r="N71" i="21" s="1"/>
  <c r="N70" i="21" s="1"/>
  <c r="N69" i="21" s="1"/>
  <c r="R93" i="21"/>
  <c r="P117" i="21"/>
  <c r="N212" i="18"/>
  <c r="P191" i="21"/>
  <c r="O85" i="21"/>
  <c r="O84" i="21" s="1"/>
  <c r="Q152" i="21"/>
  <c r="M117" i="21"/>
  <c r="Q117" i="21"/>
  <c r="P166" i="21"/>
  <c r="L117" i="21"/>
  <c r="N117" i="21"/>
  <c r="L166" i="21"/>
  <c r="Q85" i="21"/>
  <c r="Q84" i="21" s="1"/>
  <c r="P152" i="21"/>
  <c r="J191" i="21"/>
  <c r="Q191" i="21"/>
  <c r="N85" i="21"/>
  <c r="N84" i="21" s="1"/>
  <c r="R85" i="21"/>
  <c r="R84" i="21" s="1"/>
  <c r="R83" i="21" s="1"/>
  <c r="L152" i="21"/>
  <c r="R166" i="21"/>
  <c r="L191" i="21"/>
  <c r="N191" i="21"/>
  <c r="R191" i="21"/>
  <c r="J309" i="18"/>
  <c r="H317" i="18"/>
  <c r="H316" i="18" s="1"/>
  <c r="J117" i="21"/>
  <c r="O117" i="21"/>
  <c r="O166" i="21"/>
  <c r="I183" i="18"/>
  <c r="I182" i="18" s="1"/>
  <c r="I181" i="18" s="1"/>
  <c r="J204" i="18"/>
  <c r="J203" i="18" s="1"/>
  <c r="J202" i="18" s="1"/>
  <c r="J192" i="18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J144" i="18" s="1"/>
  <c r="J14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O83" i="2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L83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P83" i="21"/>
  <c r="I120" i="18"/>
  <c r="I119" i="18" s="1"/>
  <c r="I118" i="18" s="1"/>
  <c r="I117" i="18" s="1"/>
  <c r="I116" i="18" s="1"/>
  <c r="J183" i="18"/>
  <c r="J182" i="18" s="1"/>
  <c r="J181" i="18" s="1"/>
  <c r="J176" i="18" s="1"/>
  <c r="J212" i="18"/>
  <c r="J253" i="18"/>
  <c r="J252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60" i="20"/>
  <c r="J159" i="20" s="1"/>
  <c r="J175" i="21"/>
  <c r="J174" i="21" s="1"/>
  <c r="J388" i="21"/>
  <c r="U58" i="20"/>
  <c r="U57" i="20" s="1"/>
  <c r="U136" i="18"/>
  <c r="U135" i="18"/>
  <c r="U116" i="18" s="1"/>
  <c r="H342" i="18"/>
  <c r="H338" i="18" s="1"/>
  <c r="H337" i="18" s="1"/>
  <c r="H336" i="18" s="1"/>
  <c r="H327" i="18" s="1"/>
  <c r="U342" i="18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I54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21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J247" i="18"/>
  <c r="J240" i="18" s="1"/>
  <c r="I253" i="18"/>
  <c r="N253" i="18"/>
  <c r="I342" i="18"/>
  <c r="I338" i="18" s="1"/>
  <c r="I337" i="18" s="1"/>
  <c r="I336" i="18" s="1"/>
  <c r="I327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J267" i="20" s="1"/>
  <c r="J262" i="20" s="1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N473" i="21" s="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I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U191" i="18" s="1"/>
  <c r="N204" i="18"/>
  <c r="N203" i="18" s="1"/>
  <c r="N202" i="18" s="1"/>
  <c r="N192" i="18" s="1"/>
  <c r="I252" i="18"/>
  <c r="I247" i="18" s="1"/>
  <c r="U317" i="18"/>
  <c r="U316" i="18" s="1"/>
  <c r="U309" i="18" s="1"/>
  <c r="U338" i="18"/>
  <c r="U337" i="18" s="1"/>
  <c r="U336" i="18" s="1"/>
  <c r="U327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I182" i="20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P134" i="21"/>
  <c r="P130" i="21" s="1"/>
  <c r="P105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M174" i="21"/>
  <c r="J300" i="21"/>
  <c r="J299" i="21" s="1"/>
  <c r="M191" i="2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N317" i="20"/>
  <c r="N313" i="20" s="1"/>
  <c r="N312" i="20" s="1"/>
  <c r="N311" i="20" s="1"/>
  <c r="N310" i="20" s="1"/>
  <c r="I334" i="20"/>
  <c r="I421" i="20"/>
  <c r="I420" i="20" s="1"/>
  <c r="I416" i="20" s="1"/>
  <c r="I415" i="20" s="1"/>
  <c r="I414" i="20" s="1"/>
  <c r="I400" i="20" s="1"/>
  <c r="I399" i="20" s="1"/>
  <c r="K421" i="20"/>
  <c r="U56" i="20"/>
  <c r="U55" i="20" s="1"/>
  <c r="N91" i="20"/>
  <c r="J120" i="20"/>
  <c r="I121" i="20"/>
  <c r="I120" i="20" s="1"/>
  <c r="I119" i="20" s="1"/>
  <c r="I118" i="20" s="1"/>
  <c r="I117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54" i="18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H252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J347" i="18"/>
  <c r="H248" i="18"/>
  <c r="U258" i="18"/>
  <c r="U252" i="18" s="1"/>
  <c r="H117" i="20" l="1"/>
  <c r="N105" i="21"/>
  <c r="N267" i="20"/>
  <c r="N262" i="20" s="1"/>
  <c r="H267" i="20"/>
  <c r="H262" i="20" s="1"/>
  <c r="R105" i="21"/>
  <c r="I240" i="18"/>
  <c r="M105" i="21"/>
  <c r="H255" i="20"/>
  <c r="N191" i="18"/>
  <c r="J386" i="21"/>
  <c r="J387" i="21" s="1"/>
  <c r="J173" i="21"/>
  <c r="J20" i="21" s="1"/>
  <c r="J11" i="21" s="1"/>
  <c r="Q105" i="21"/>
  <c r="Q20" i="21" s="1"/>
  <c r="Q11" i="21" s="1"/>
  <c r="N54" i="18"/>
  <c r="N53" i="18" s="1"/>
  <c r="N266" i="21"/>
  <c r="N252" i="18"/>
  <c r="N247" i="18" s="1"/>
  <c r="N173" i="21"/>
  <c r="N20" i="21" s="1"/>
  <c r="N11" i="21" s="1"/>
  <c r="J83" i="21"/>
  <c r="U400" i="20"/>
  <c r="U399" i="20" s="1"/>
  <c r="J119" i="20"/>
  <c r="J118" i="20" s="1"/>
  <c r="J117" i="20" s="1"/>
  <c r="J54" i="18"/>
  <c r="J227" i="21"/>
  <c r="J215" i="21" s="1"/>
  <c r="J190" i="21" s="1"/>
  <c r="J105" i="21"/>
  <c r="H21" i="20"/>
  <c r="H19" i="20" s="1"/>
  <c r="O227" i="21"/>
  <c r="O226" i="21" s="1"/>
  <c r="H21" i="18"/>
  <c r="H19" i="18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O20" i="21" s="1"/>
  <c r="O11" i="21" s="1"/>
  <c r="P173" i="21"/>
  <c r="P20" i="21" s="1"/>
  <c r="P11" i="21" s="1"/>
  <c r="M190" i="21"/>
  <c r="Q215" i="21"/>
  <c r="Q190" i="21" s="1"/>
  <c r="Q189" i="21" s="1"/>
  <c r="R174" i="21"/>
  <c r="R173" i="21"/>
  <c r="R20" i="21" s="1"/>
  <c r="R11" i="21" s="1"/>
  <c r="J379" i="21"/>
  <c r="J378" i="21" s="1"/>
  <c r="L226" i="21"/>
  <c r="L215" i="21"/>
  <c r="L190" i="21" s="1"/>
  <c r="N215" i="21"/>
  <c r="N190" i="21" s="1"/>
  <c r="N189" i="21" s="1"/>
  <c r="U21" i="20"/>
  <c r="J197" i="20"/>
  <c r="H148" i="20"/>
  <c r="V154" i="20"/>
  <c r="N54" i="20"/>
  <c r="N21" i="20"/>
  <c r="J19" i="20"/>
  <c r="U247" i="18"/>
  <c r="N19" i="18"/>
  <c r="N20" i="18"/>
  <c r="N18" i="18" s="1"/>
  <c r="I20" i="18"/>
  <c r="I19" i="18"/>
  <c r="H247" i="18"/>
  <c r="I191" i="18"/>
  <c r="O215" i="21" l="1"/>
  <c r="O190" i="21" s="1"/>
  <c r="O189" i="21" s="1"/>
  <c r="M20" i="21"/>
  <c r="M12" i="21" s="1"/>
  <c r="H197" i="20"/>
  <c r="H20" i="20" s="1"/>
  <c r="J226" i="21"/>
  <c r="I20" i="20"/>
  <c r="U53" i="20"/>
  <c r="U19" i="18"/>
  <c r="U20" i="20"/>
  <c r="U18" i="20" s="1"/>
  <c r="J20" i="20"/>
  <c r="L189" i="21"/>
  <c r="I53" i="20"/>
  <c r="I18" i="20" s="1"/>
  <c r="N53" i="20"/>
  <c r="J53" i="18"/>
  <c r="J18" i="18" s="1"/>
  <c r="H53" i="18"/>
  <c r="H20" i="18"/>
  <c r="H18" i="18" s="1"/>
  <c r="M18" i="18" s="1"/>
  <c r="M189" i="21"/>
  <c r="J53" i="20"/>
  <c r="J18" i="20" s="1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N20" i="20"/>
  <c r="N18" i="20" s="1"/>
  <c r="N19" i="20"/>
  <c r="V102" i="15" l="1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J354" i="17" s="1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I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N245" i="17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I214" i="17" s="1"/>
  <c r="I213" i="17" s="1"/>
  <c r="H215" i="17"/>
  <c r="H214" i="17" s="1"/>
  <c r="H213" i="17" s="1"/>
  <c r="N214" i="17"/>
  <c r="N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N183" i="17" s="1"/>
  <c r="N182" i="17" s="1"/>
  <c r="N181" i="17" s="1"/>
  <c r="J184" i="17"/>
  <c r="I184" i="17"/>
  <c r="H184" i="17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73" i="17"/>
  <c r="U172" i="17" s="1"/>
  <c r="U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U248" i="17" l="1"/>
  <c r="N242" i="17"/>
  <c r="N241" i="17" s="1"/>
  <c r="J347" i="17"/>
  <c r="N258" i="17"/>
  <c r="N212" i="17"/>
  <c r="I91" i="17"/>
  <c r="H249" i="17"/>
  <c r="I183" i="17"/>
  <c r="I182" i="17" s="1"/>
  <c r="I181" i="17" s="1"/>
  <c r="I176" i="17" s="1"/>
  <c r="N290" i="17"/>
  <c r="N289" i="17" s="1"/>
  <c r="N288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J337" i="17" l="1"/>
  <c r="J336" i="17" s="1"/>
  <c r="J327" i="17" s="1"/>
  <c r="N191" i="17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I191" i="17"/>
  <c r="N247" i="17"/>
  <c r="U21" i="17"/>
  <c r="H54" i="17"/>
  <c r="H136" i="17"/>
  <c r="H135" i="17"/>
  <c r="H116" i="17" s="1"/>
  <c r="J20" i="17"/>
  <c r="H21" i="17"/>
  <c r="U291" i="12"/>
  <c r="N291" i="12"/>
  <c r="H291" i="12"/>
  <c r="R359" i="11"/>
  <c r="Q359" i="11"/>
  <c r="R358" i="11"/>
  <c r="Q358" i="11"/>
  <c r="R357" i="11"/>
  <c r="Q357" i="11"/>
  <c r="N20" i="17" l="1"/>
  <c r="N18" i="17" s="1"/>
  <c r="I53" i="17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N204" i="12" l="1"/>
  <c r="N203" i="12" s="1"/>
  <c r="N202" i="12" s="1"/>
  <c r="R298" i="11"/>
  <c r="Q134" i="11"/>
  <c r="Q130" i="11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192" i="12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223" i="11"/>
  <c r="Q152" i="11"/>
  <c r="Q85" i="11"/>
  <c r="Q84" i="11" s="1"/>
  <c r="Q175" i="11"/>
  <c r="R173" i="11" l="1"/>
  <c r="Q105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N488" i="13" s="1"/>
  <c r="J489" i="13"/>
  <c r="J488" i="13" s="1"/>
  <c r="P488" i="13"/>
  <c r="O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O455" i="13"/>
  <c r="O454" i="13" s="1"/>
  <c r="N455" i="13"/>
  <c r="N454" i="13" s="1"/>
  <c r="J455" i="13"/>
  <c r="J454" i="13" s="1"/>
  <c r="P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O437" i="13" s="1"/>
  <c r="N438" i="13"/>
  <c r="N437" i="13" s="1"/>
  <c r="J438" i="13"/>
  <c r="J437" i="13" s="1"/>
  <c r="P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J398" i="13" s="1"/>
  <c r="J397" i="13" s="1"/>
  <c r="J396" i="13" s="1"/>
  <c r="J395" i="13" s="1"/>
  <c r="P398" i="13"/>
  <c r="O398" i="13"/>
  <c r="O397" i="13" s="1"/>
  <c r="O396" i="13" s="1"/>
  <c r="O395" i="13" s="1"/>
  <c r="N398" i="13"/>
  <c r="N397" i="13" s="1"/>
  <c r="N396" i="13" s="1"/>
  <c r="N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O359" i="13"/>
  <c r="O358" i="13" s="1"/>
  <c r="N359" i="13"/>
  <c r="N358" i="13" s="1"/>
  <c r="J359" i="13"/>
  <c r="J358" i="13" s="1"/>
  <c r="P358" i="13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N271" i="13"/>
  <c r="J271" i="13"/>
  <c r="J270" i="13" s="1"/>
  <c r="P270" i="13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P207" i="13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H292" i="14" l="1"/>
  <c r="L292" i="14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H288" i="14"/>
  <c r="L288" i="14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J17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M189" i="13" l="1"/>
  <c r="P20" i="13"/>
  <c r="P11" i="13" s="1"/>
  <c r="O20" i="13"/>
  <c r="O11" i="13" s="1"/>
  <c r="J215" i="13"/>
  <c r="J190" i="13" s="1"/>
  <c r="J189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O538" i="11" s="1"/>
  <c r="N539" i="11"/>
  <c r="J539" i="11"/>
  <c r="J538" i="11" s="1"/>
  <c r="P538" i="11"/>
  <c r="N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J519" i="11" s="1"/>
  <c r="P519" i="11"/>
  <c r="O519" i="11"/>
  <c r="N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P464" i="11" s="1"/>
  <c r="O465" i="11"/>
  <c r="O464" i="11" s="1"/>
  <c r="N465" i="11"/>
  <c r="N464" i="11" s="1"/>
  <c r="J465" i="11"/>
  <c r="J464" i="11" s="1"/>
  <c r="M464" i="11"/>
  <c r="L464" i="11"/>
  <c r="P462" i="11"/>
  <c r="O462" i="11"/>
  <c r="O461" i="11" s="1"/>
  <c r="N462" i="11"/>
  <c r="N461" i="11" s="1"/>
  <c r="J462" i="11"/>
  <c r="J461" i="11" s="1"/>
  <c r="P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P380" i="11" s="1"/>
  <c r="O381" i="11"/>
  <c r="O380" i="11" s="1"/>
  <c r="N381" i="11"/>
  <c r="N380" i="11" s="1"/>
  <c r="J381" i="11"/>
  <c r="J380" i="11" s="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P342" i="11" s="1"/>
  <c r="P341" i="11" s="1"/>
  <c r="P340" i="11" s="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118" i="12" l="1"/>
  <c r="J117" i="12" s="1"/>
  <c r="J116" i="12" s="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O475" i="5"/>
  <c r="O474" i="5" s="1"/>
  <c r="N475" i="5"/>
  <c r="P474" i="5"/>
  <c r="N474" i="5"/>
  <c r="AC472" i="5"/>
  <c r="P472" i="5"/>
  <c r="P471" i="5" s="1"/>
  <c r="O472" i="5"/>
  <c r="N472" i="5"/>
  <c r="J472" i="5"/>
  <c r="J471" i="5" s="1"/>
  <c r="O471" i="5"/>
  <c r="N471" i="5"/>
  <c r="P469" i="5"/>
  <c r="P468" i="5" s="1"/>
  <c r="O469" i="5"/>
  <c r="O468" i="5" s="1"/>
  <c r="N469" i="5"/>
  <c r="N468" i="5" s="1"/>
  <c r="J469" i="5"/>
  <c r="J468" i="5" s="1"/>
  <c r="P466" i="5"/>
  <c r="O466" i="5"/>
  <c r="O463" i="5" s="1"/>
  <c r="N466" i="5"/>
  <c r="M466" i="5"/>
  <c r="L466" i="5"/>
  <c r="K466" i="5"/>
  <c r="J466" i="5"/>
  <c r="J463" i="5" s="1"/>
  <c r="P464" i="5"/>
  <c r="P463" i="5" s="1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O428" i="5"/>
  <c r="O427" i="5" s="1"/>
  <c r="N428" i="5"/>
  <c r="N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P388" i="5"/>
  <c r="O388" i="5"/>
  <c r="N388" i="5"/>
  <c r="J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226" i="1" l="1"/>
  <c r="P224" i="1" s="1"/>
  <c r="L217" i="2"/>
  <c r="J413" i="5"/>
  <c r="L232" i="1"/>
  <c r="H161" i="2"/>
  <c r="H160" i="2" s="1"/>
  <c r="H159" i="2" s="1"/>
  <c r="H154" i="2" s="1"/>
  <c r="K201" i="2"/>
  <c r="K200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J112" i="5"/>
  <c r="J106" i="5" s="1"/>
  <c r="J72" i="1"/>
  <c r="J71" i="1" s="1"/>
  <c r="J70" i="1" s="1"/>
  <c r="J69" i="1" s="1"/>
  <c r="O98" i="5"/>
  <c r="N463" i="5"/>
  <c r="N98" i="5"/>
  <c r="N93" i="5" s="1"/>
  <c r="O112" i="1"/>
  <c r="O106" i="1" s="1"/>
  <c r="O31" i="1"/>
  <c r="O30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50" i="2"/>
  <c r="H250" i="2"/>
  <c r="I191" i="2"/>
  <c r="I190" i="2" s="1"/>
  <c r="I184" i="2" s="1"/>
  <c r="I179" i="2" s="1"/>
  <c r="I161" i="2"/>
  <c r="I160" i="2" s="1"/>
  <c r="I159" i="2" s="1"/>
  <c r="L27" i="5"/>
  <c r="L26" i="5" s="1"/>
  <c r="L25" i="5" s="1"/>
  <c r="P102" i="4"/>
  <c r="M152" i="5"/>
  <c r="P72" i="1"/>
  <c r="L72" i="1"/>
  <c r="L71" i="1" s="1"/>
  <c r="L70" i="1" s="1"/>
  <c r="L69" i="1" s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3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471" i="1"/>
  <c r="J369" i="1"/>
  <c r="P82" i="4"/>
  <c r="I131" i="3"/>
  <c r="I130" i="3" s="1"/>
  <c r="J239" i="3"/>
  <c r="O463" i="1"/>
  <c r="J166" i="1"/>
  <c r="J134" i="1"/>
  <c r="J85" i="1"/>
  <c r="J84" i="1" s="1"/>
  <c r="I182" i="3"/>
  <c r="I181" i="3" s="1"/>
  <c r="I180" i="3" s="1"/>
  <c r="I175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34" i="3"/>
  <c r="J223" i="3"/>
  <c r="J222" i="3" s="1"/>
  <c r="M241" i="1"/>
  <c r="M240" i="1" s="1"/>
  <c r="P134" i="1"/>
  <c r="P130" i="1" s="1"/>
  <c r="J130" i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I143" i="3" s="1"/>
  <c r="I142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P71" i="1"/>
  <c r="P70" i="1" s="1"/>
  <c r="P69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I154" i="2"/>
  <c r="P369" i="1"/>
  <c r="O130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O93" i="5"/>
  <c r="J117" i="5"/>
  <c r="O117" i="5"/>
  <c r="N175" i="5"/>
  <c r="N174" i="5" s="1"/>
  <c r="J206" i="5"/>
  <c r="J204" i="5" s="1"/>
  <c r="J347" i="5"/>
  <c r="I239" i="3"/>
  <c r="P513" i="5"/>
  <c r="J268" i="3"/>
  <c r="J267" i="3" s="1"/>
  <c r="J266" i="3" s="1"/>
  <c r="J257" i="3" s="1"/>
  <c r="H153" i="3"/>
  <c r="H152" i="3" s="1"/>
  <c r="M32" i="5"/>
  <c r="M31" i="5" s="1"/>
  <c r="M30" i="5" s="1"/>
  <c r="N31" i="5"/>
  <c r="N30" i="5" s="1"/>
  <c r="N21" i="5" s="1"/>
  <c r="M93" i="5"/>
  <c r="M117" i="5"/>
  <c r="O226" i="5"/>
  <c r="O224" i="5" s="1"/>
  <c r="O223" i="5" s="1"/>
  <c r="P260" i="5"/>
  <c r="L290" i="5"/>
  <c r="N334" i="5"/>
  <c r="N340" i="5" s="1"/>
  <c r="I234" i="3"/>
  <c r="I233" i="3" s="1"/>
  <c r="I228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L173" i="1"/>
  <c r="O152" i="1"/>
  <c r="L85" i="1"/>
  <c r="L84" i="1" s="1"/>
  <c r="O246" i="5"/>
  <c r="O241" i="5" s="1"/>
  <c r="O240" i="5" s="1"/>
  <c r="I330" i="3"/>
  <c r="I329" i="3" s="1"/>
  <c r="H230" i="3"/>
  <c r="I277" i="3"/>
  <c r="J315" i="3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M130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J224" i="1" l="1"/>
  <c r="J223" i="1" s="1"/>
  <c r="P174" i="1"/>
  <c r="J215" i="1"/>
  <c r="J233" i="3"/>
  <c r="J228" i="3" s="1"/>
  <c r="L31" i="1"/>
  <c r="L30" i="1" s="1"/>
  <c r="L21" i="1" s="1"/>
  <c r="I305" i="3"/>
  <c r="I304" i="3" s="1"/>
  <c r="I295" i="3" s="1"/>
  <c r="I211" i="2"/>
  <c r="I206" i="2" s="1"/>
  <c r="I199" i="2" s="1"/>
  <c r="N105" i="5"/>
  <c r="H211" i="2"/>
  <c r="H206" i="2" s="1"/>
  <c r="H199" i="2" s="1"/>
  <c r="H168" i="2" s="1"/>
  <c r="H143" i="3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J20" i="3" s="1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J20" i="1" s="1"/>
  <c r="J11" i="1" s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20" i="1"/>
  <c r="M12" i="1" s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J190" i="1"/>
  <c r="M190" i="1"/>
  <c r="O224" i="1"/>
  <c r="O223" i="1" s="1"/>
  <c r="O225" i="1"/>
  <c r="I168" i="2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5" l="1"/>
  <c r="P11" i="5" s="1"/>
  <c r="L189" i="5"/>
  <c r="N215" i="5"/>
  <c r="N190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<sst xmlns="http://schemas.openxmlformats.org/spreadsheetml/2006/main" count="30385" uniqueCount="1247">
  <si>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</si>
  <si>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</si>
  <si>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</si>
  <si>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</si>
  <si>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</si>
  <si>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</si>
  <si>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</si>
  <si>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</si>
  <si>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</si>
  <si>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</si>
  <si>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</si>
  <si>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</si>
  <si>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</si>
  <si>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</si>
  <si>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</si>
  <si>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</si>
  <si>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</si>
  <si>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</si>
  <si>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</si>
  <si>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</si>
  <si>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</si>
  <si>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</si>
  <si>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</si>
  <si>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</si>
  <si>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</si>
  <si>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</si>
  <si>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</si>
  <si>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</si>
  <si>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</si>
  <si>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</si>
  <si>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</si>
  <si>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</si>
  <si>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</si>
  <si>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</si>
  <si>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</si>
  <si>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</si>
  <si>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</si>
  <si>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</si>
  <si>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</si>
  <si>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</si>
  <si>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</si>
  <si>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</si>
  <si>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</si>
  <si>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</si>
  <si>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</si>
  <si>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</si>
  <si>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</si>
  <si>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</si>
  <si>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</si>
  <si>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</si>
  <si>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</si>
  <si>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</si>
  <si>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</si>
  <si>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</si>
  <si>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</si>
  <si>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</si>
  <si>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</si>
  <si>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</si>
  <si>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</si>
  <si>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</si>
  <si>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</si>
  <si>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</si>
  <si>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</si>
  <si>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</si>
  <si>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</si>
  <si>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</si>
  <si>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</si>
  <si>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</si>
  <si>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</si>
  <si>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</si>
  <si>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</si>
  <si>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</si>
  <si>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</si>
  <si>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</si>
  <si>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</si>
  <si>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</si>
  <si>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</si>
  <si>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</si>
  <si>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</si>
  <si>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</si>
  <si>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</si>
  <si>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</si>
  <si>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</si>
  <si>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</si>
  <si>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</si>
  <si>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</si>
  <si>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</si>
  <si>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</si>
  <si>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</si>
  <si>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</si>
  <si>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</si>
  <si>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</si>
  <si>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</si>
  <si>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</si>
  <si>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</si>
  <si>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</si>
  <si>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</si>
  <si>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</si>
  <si>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</si>
  <si>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</si>
  <si>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</si>
  <si>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</si>
  <si>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</si>
  <si>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</si>
  <si>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</si>
  <si>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</si>
  <si>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</si>
  <si>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</si>
  <si>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</si>
  <si>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</si>
  <si>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</si>
  <si>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</si>
  <si>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</si>
  <si>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</si>
  <si>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</si>
  <si>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</si>
  <si>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</si>
  <si>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</si>
  <si>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</si>
  <si>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</si>
  <si>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</si>
  <si>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</si>
  <si>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</si>
  <si>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</si>
  <si>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</si>
  <si>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</si>
  <si>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</si>
  <si>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</si>
  <si>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</si>
  <si>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</si>
  <si>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</si>
  <si>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</si>
  <si>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</si>
  <si>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</si>
  <si>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</si>
  <si>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</si>
  <si>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</si>
  <si>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</si>
  <si>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</si>
  <si>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</si>
  <si>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</si>
  <si>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</si>
  <si>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</si>
  <si>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</si>
  <si>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</si>
  <si>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</si>
  <si>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</si>
  <si>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</si>
  <si>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</si>
  <si>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</si>
  <si>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</si>
  <si>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</si>
  <si>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</si>
  <si>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</si>
  <si>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</si>
  <si>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</si>
  <si>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</si>
  <si>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</si>
  <si>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</si>
  <si>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</si>
  <si>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</si>
  <si>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</si>
  <si>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</si>
  <si>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</si>
  <si>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</si>
  <si>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</si>
  <si>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</si>
  <si>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</si>
  <si>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</si>
  <si>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</si>
  <si>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</si>
  <si>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</si>
  <si>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</si>
  <si>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</si>
  <si>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</si>
  <si>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</si>
  <si>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</si>
  <si>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</si>
  <si>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</si>
  <si>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</si>
  <si>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</si>
  <si>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</si>
  <si>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</si>
  <si>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</si>
  <si>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</si>
  <si>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</si>
  <si>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</si>
  <si>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</si>
  <si>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</si>
  <si>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</si>
  <si>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</si>
  <si>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</si>
  <si>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</si>
  <si>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</si>
  <si>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</si>
  <si>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</si>
  <si>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</si>
  <si>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</si>
  <si>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</si>
  <si>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</si>
  <si>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</si>
  <si>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</si>
  <si>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</si>
  <si>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</si>
  <si>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</si>
  <si>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</si>
  <si>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</si>
  <si>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</si>
  <si>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</si>
  <si>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</si>
  <si>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</si>
  <si>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</si>
  <si>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</si>
  <si>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</si>
  <si>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</si>
  <si>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</si>
  <si>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</si>
  <si>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</si>
  <si>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</si>
  <si>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</si>
  <si>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</si>
  <si>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</si>
  <si>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</si>
  <si>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</si>
  <si>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</si>
  <si>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</si>
  <si>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</si>
  <si>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</si>
  <si>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</si>
  <si>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</si>
  <si>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</si>
  <si>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</si>
  <si>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</si>
  <si>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</si>
  <si>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</si>
  <si>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</si>
  <si>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</si>
  <si>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</si>
  <si>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</si>
  <si>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</si>
  <si>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</si>
  <si>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</si>
  <si>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</si>
  <si>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</si>
  <si>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</si>
  <si>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</si>
  <si>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</si>
  <si>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</si>
  <si>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</si>
  <si>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</si>
  <si>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</si>
  <si>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</si>
  <si>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</si>
  <si>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</si>
  <si>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</si>
  <si>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</si>
  <si>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</si>
  <si>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</si>
  <si>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</si>
  <si>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</si>
  <si>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</si>
  <si>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</si>
  <si>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</si>
  <si>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</si>
  <si>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</si>
  <si>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</si>
  <si>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</si>
  <si>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</si>
  <si>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</si>
  <si>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</si>
  <si>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</si>
  <si>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</si>
  <si>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</si>
  <si>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</si>
  <si>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</si>
  <si>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</si>
  <si>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</si>
  <si>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</si>
  <si>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</si>
  <si>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</si>
  <si>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</si>
  <si>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</si>
  <si>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</si>
  <si>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</si>
  <si>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</si>
  <si>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</si>
  <si>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</si>
  <si>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</si>
  <si>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</si>
  <si>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</si>
  <si>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</si>
  <si>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</si>
  <si>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</si>
  <si>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</si>
  <si>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</si>
  <si>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</si>
  <si>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</si>
  <si>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</si>
  <si>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</si>
  <si>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</si>
  <si>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</si>
  <si>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</si>
  <si>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</si>
  <si>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</si>
  <si>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</si>
  <si>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</si>
  <si>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</si>
  <si>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</si>
  <si>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</si>
  <si>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</si>
  <si>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</si>
  <si>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</si>
  <si>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</si>
  <si>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</si>
  <si>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</si>
  <si>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</si>
  <si>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</si>
  <si>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</si>
  <si>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</si>
  <si>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</si>
  <si>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</si>
  <si>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</si>
  <si>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</si>
  <si>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</si>
  <si>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</si>
  <si>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</si>
  <si>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</si>
  <si>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</si>
  <si>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</si>
  <si>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</si>
  <si>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</si>
  <si>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</si>
  <si>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</si>
  <si>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</si>
  <si>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</si>
  <si>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</si>
  <si>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</si>
  <si>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</si>
  <si>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</si>
  <si>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</si>
  <si>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</si>
  <si>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</si>
  <si>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</si>
  <si>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</si>
  <si>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</si>
  <si>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</si>
  <si>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</si>
  <si>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</si>
  <si>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</si>
  <si>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</si>
  <si>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</si>
  <si>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</si>
  <si>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</si>
  <si>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</si>
  <si>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</si>
  <si>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</si>
  <si>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</si>
  <si>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</si>
  <si>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</si>
  <si>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</si>
  <si>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</si>
  <si>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</si>
  <si>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</si>
  <si>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</si>
  <si>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</si>
  <si>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</si>
  <si>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</si>
  <si>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</si>
  <si>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</si>
  <si>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</si>
  <si>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</si>
  <si>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</si>
  <si>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</si>
  <si>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</si>
  <si>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</si>
  <si>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</si>
  <si>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</si>
  <si>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</si>
  <si>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</si>
  <si>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</si>
  <si>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</si>
  <si>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</si>
  <si>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</si>
  <si>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</si>
  <si>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</si>
  <si>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</si>
  <si>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</si>
  <si>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</si>
  <si>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</si>
  <si>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</si>
  <si>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</si>
  <si>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</si>
  <si>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</si>
  <si>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</si>
  <si>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</si>
  <si>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</si>
  <si>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</si>
  <si>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</si>
  <si>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</si>
  <si>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</si>
  <si>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</si>
  <si>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</si>
  <si>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</si>
  <si>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</si>
  <si>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</si>
  <si>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</si>
  <si>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</si>
  <si>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</si>
  <si>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</si>
  <si>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</si>
  <si>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</si>
  <si>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</si>
  <si>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</si>
  <si>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</si>
  <si>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</si>
  <si>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</si>
  <si>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</si>
  <si>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</si>
  <si>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</si>
  <si>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</si>
  <si>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</si>
  <si>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</si>
  <si>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</si>
  <si>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</si>
  <si>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</si>
  <si>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</si>
  <si>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</si>
  <si>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</si>
  <si>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</si>
  <si>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</si>
  <si>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</si>
  <si>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</si>
  <si>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</si>
  <si>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</si>
  <si>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</si>
  <si>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</si>
  <si>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</si>
  <si>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</si>
  <si>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</si>
  <si>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</si>
  <si>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</si>
  <si>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</si>
  <si>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</si>
  <si>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</si>
  <si>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</si>
  <si>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</si>
  <si>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</si>
  <si>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</si>
  <si>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</si>
  <si>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</si>
  <si>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</si>
  <si>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</si>
  <si>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</si>
  <si>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</si>
  <si>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</si>
  <si>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</si>
  <si>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</si>
  <si>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</si>
  <si>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</si>
  <si>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</si>
  <si>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</si>
  <si>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</si>
  <si>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</si>
  <si>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</si>
  <si>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</si>
  <si>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</si>
  <si>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</si>
  <si>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</si>
  <si>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</si>
  <si>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</si>
  <si>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</si>
  <si>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</si>
  <si>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</si>
  <si>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</si>
  <si>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</si>
  <si>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</si>
  <si>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</si>
  <si>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</si>
  <si>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</si>
  <si>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</si>
  <si>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</si>
  <si>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</si>
  <si>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</si>
  <si>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</si>
  <si>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</si>
  <si>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</si>
  <si>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</si>
  <si>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</si>
  <si>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</si>
  <si>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</si>
  <si>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</si>
  <si>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</si>
  <si>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</si>
  <si>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</si>
  <si>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</si>
  <si>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</si>
  <si>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</si>
  <si>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</si>
  <si>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</si>
  <si>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</si>
  <si>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</si>
  <si>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</si>
  <si>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</si>
  <si>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</si>
  <si>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</si>
  <si>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</si>
  <si>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</si>
  <si>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</si>
  <si>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</si>
  <si>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</si>
  <si>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</si>
  <si>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</si>
  <si>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</si>
  <si>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</si>
  <si>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</si>
  <si>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</si>
  <si>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</si>
  <si>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</si>
  <si>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</si>
  <si>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</si>
  <si>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</si>
  <si>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</si>
  <si>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</si>
  <si>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</si>
  <si>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</si>
  <si>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</si>
  <si>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</si>
  <si>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</si>
  <si>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</si>
  <si>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</si>
  <si>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</si>
  <si>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</si>
  <si>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</si>
  <si>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</si>
  <si>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</si>
  <si>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</si>
  <si>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</si>
  <si>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</si>
  <si>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</si>
  <si>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</si>
  <si>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</si>
  <si>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</si>
  <si>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</si>
  <si>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</si>
  <si>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</si>
  <si>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</si>
  <si>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</si>
  <si>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</si>
  <si>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</si>
  <si>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</si>
  <si>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</si>
  <si>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</si>
  <si>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</si>
  <si>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</si>
  <si>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</si>
  <si>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</si>
  <si>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</si>
  <si>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</si>
  <si>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</si>
  <si>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</si>
  <si>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</si>
  <si>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</si>
  <si>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</si>
  <si>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</si>
  <si>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</si>
  <si>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</si>
  <si>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</si>
  <si>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</si>
  <si>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</si>
  <si>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</si>
  <si>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</si>
  <si>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</si>
  <si>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</si>
  <si>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</si>
  <si>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</si>
  <si>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</si>
  <si>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</si>
  <si>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</si>
  <si>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</si>
  <si>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</si>
  <si>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</si>
  <si>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</si>
  <si>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</si>
  <si>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</si>
  <si>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</si>
  <si>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</si>
  <si>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</si>
  <si>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</si>
  <si>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</si>
  <si>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</si>
  <si>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</si>
  <si>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</si>
  <si>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</si>
  <si>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</si>
  <si>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</si>
  <si>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</si>
  <si>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</si>
  <si>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</si>
  <si>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</si>
  <si>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</si>
  <si>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</si>
  <si>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</si>
  <si>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</si>
  <si>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</si>
  <si>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</si>
  <si>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</si>
  <si>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</si>
  <si>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</si>
  <si>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</si>
  <si>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</si>
  <si>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</si>
  <si>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</si>
  <si>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</si>
  <si>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</si>
  <si>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</si>
  <si>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</si>
  <si>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</si>
  <si>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</si>
  <si>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</si>
  <si>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</si>
  <si>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</si>
  <si>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</si>
  <si>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</si>
  <si>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</si>
  <si>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</si>
  <si>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</si>
  <si>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</si>
  <si>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</si>
  <si>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</si>
  <si>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</si>
  <si>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</si>
  <si>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</si>
  <si>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</si>
  <si>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</si>
  <si>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</si>
  <si>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</si>
  <si>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</si>
  <si>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</si>
  <si>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</si>
  <si>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</si>
  <si>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</si>
  <si>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</si>
  <si>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</si>
  <si>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</si>
  <si>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</si>
  <si>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</si>
  <si>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</si>
  <si>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</si>
  <si>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</si>
  <si>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</si>
  <si>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</si>
  <si>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</si>
  <si>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</si>
  <si>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</si>
  <si>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</si>
  <si>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</si>
  <si>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</si>
  <si>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</si>
  <si>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</si>
  <si>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</si>
  <si>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</si>
  <si>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</si>
  <si>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</si>
  <si>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</si>
  <si>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</si>
  <si>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</si>
  <si>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</si>
  <si>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</si>
  <si>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</si>
  <si>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</si>
  <si>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</si>
  <si>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</si>
  <si>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</si>
  <si>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</si>
  <si>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</si>
  <si>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</si>
  <si>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</si>
  <si>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</si>
  <si>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</si>
  <si>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</si>
  <si>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</si>
  <si>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</si>
  <si>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</si>
  <si>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</si>
  <si>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</si>
  <si>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</si>
  <si>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</si>
  <si>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</si>
  <si>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</si>
  <si>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</si>
  <si>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</si>
  <si>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</si>
  <si>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</si>
  <si>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</si>
  <si>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</si>
  <si>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</si>
  <si>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</si>
  <si>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</si>
  <si>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</si>
  <si>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</si>
  <si>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</si>
  <si>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</si>
  <si>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</si>
  <si>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</si>
  <si>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</si>
  <si>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</si>
  <si>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</si>
  <si>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</si>
  <si>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</si>
  <si>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</si>
  <si>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</si>
  <si>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</si>
  <si>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</si>
  <si>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</si>
  <si>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</si>
  <si>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</si>
  <si>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</si>
  <si>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</si>
  <si>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</si>
  <si>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</si>
  <si>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</si>
  <si>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</si>
  <si>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</si>
  <si>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</si>
  <si>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</si>
  <si>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</si>
  <si>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</si>
  <si>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</si>
  <si>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</si>
  <si>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</si>
  <si>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</si>
  <si>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</si>
  <si>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</si>
  <si>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</si>
  <si>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</si>
  <si>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</si>
  <si>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</si>
  <si>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</si>
  <si>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</si>
  <si>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</si>
  <si>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</si>
  <si>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</si>
  <si>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</si>
  <si>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</si>
  <si>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</si>
  <si>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</si>
  <si>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</si>
  <si>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</si>
  <si>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</si>
  <si>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</si>
  <si>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</si>
  <si>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</si>
  <si>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</si>
  <si>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</si>
  <si>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</si>
  <si>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</si>
  <si>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</si>
  <si>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</si>
  <si>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</si>
  <si>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</si>
  <si>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</si>
  <si>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</si>
  <si>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</si>
  <si>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</si>
  <si>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</si>
  <si>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</si>
  <si>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</si>
  <si>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</si>
  <si>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</si>
  <si>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</si>
  <si>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</si>
  <si>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</si>
  <si>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</si>
  <si>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</si>
  <si>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</si>
  <si>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</si>
  <si>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</si>
  <si>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</si>
  <si>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</si>
  <si>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</si>
  <si>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</si>
  <si>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</si>
  <si>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</si>
  <si>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</si>
  <si>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</si>
  <si>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</si>
  <si>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</si>
  <si>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</si>
  <si>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</si>
  <si>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</si>
  <si>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</si>
  <si>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</si>
  <si>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</si>
  <si>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</si>
  <si>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</si>
  <si>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</si>
  <si>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</si>
  <si>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</si>
  <si>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</si>
  <si>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</si>
  <si>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</si>
  <si>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</si>
  <si>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</si>
  <si>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</si>
  <si>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</si>
  <si>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</si>
  <si>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</si>
  <si>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</si>
  <si>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</si>
  <si>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</si>
  <si>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</si>
  <si>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</si>
  <si>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</si>
  <si>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</si>
  <si>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</si>
  <si>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</si>
  <si>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</si>
  <si>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</si>
  <si>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</si>
  <si>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</si>
  <si>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</si>
  <si>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</si>
  <si>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</si>
  <si>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</si>
  <si>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</si>
  <si>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</si>
  <si>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</si>
  <si>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</si>
  <si>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</si>
  <si>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</si>
  <si>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</si>
  <si>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</si>
  <si>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</si>
  <si>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</si>
  <si>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</si>
  <si>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</si>
  <si>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</si>
  <si>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</si>
  <si>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</si>
  <si>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</si>
  <si>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</si>
  <si>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</si>
  <si>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</si>
  <si>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</si>
  <si>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</si>
  <si>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</si>
  <si>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</si>
  <si>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</si>
  <si>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</si>
  <si>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</si>
  <si>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</si>
  <si>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</si>
  <si>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</si>
  <si>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</si>
  <si>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</si>
  <si>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</si>
  <si>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</si>
  <si>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</si>
  <si>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</si>
  <si>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</si>
  <si>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</si>
  <si>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</si>
  <si>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</si>
  <si>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</si>
  <si>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</si>
  <si>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</si>
  <si>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</si>
  <si>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</si>
  <si>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</si>
  <si>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</si>
  <si>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</si>
  <si>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</si>
  <si>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</si>
  <si>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</si>
  <si>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</si>
  <si>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</si>
  <si>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</si>
  <si>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</si>
  <si>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</si>
  <si>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</si>
  <si>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</si>
  <si>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</si>
  <si>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</si>
  <si>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</si>
  <si>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</si>
  <si>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</si>
  <si>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</si>
  <si>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</si>
  <si>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</si>
  <si>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</si>
  <si>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</si>
  <si>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</si>
  <si>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</si>
  <si>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</si>
  <si>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</si>
  <si>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</si>
  <si>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</si>
  <si>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</si>
  <si>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</si>
  <si>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</si>
  <si>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</si>
  <si>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</si>
  <si>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</si>
  <si>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</si>
  <si>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</si>
  <si>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</si>
  <si>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</si>
  <si>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</si>
  <si>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</si>
  <si>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</si>
  <si>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</si>
  <si>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</si>
  <si>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</si>
  <si>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</si>
  <si>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</si>
  <si>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</si>
  <si>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</si>
  <si>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</si>
  <si>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</si>
  <si>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</si>
  <si>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</si>
  <si>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</si>
  <si>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</si>
  <si>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</si>
  <si>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</si>
  <si>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</si>
  <si>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</si>
  <si>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</si>
  <si>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</si>
  <si>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</si>
  <si>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</si>
  <si>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</si>
  <si>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</si>
  <si>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</si>
  <si>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</si>
  <si>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</si>
  <si>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</si>
  <si>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</si>
  <si>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</si>
  <si>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</si>
  <si>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</si>
  <si>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</si>
  <si>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</si>
  <si>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</si>
  <si>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</si>
  <si>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</si>
  <si>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</si>
  <si>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</si>
  <si>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</si>
  <si>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</si>
  <si>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</si>
  <si>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</si>
  <si>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</si>
  <si>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</si>
  <si>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</si>
  <si>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</si>
  <si>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</si>
  <si>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</si>
  <si>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</si>
  <si>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</si>
  <si>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</si>
  <si>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</si>
  <si>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</si>
  <si>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</si>
  <si>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</si>
  <si>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</si>
  <si>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</si>
  <si>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</si>
  <si>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</si>
  <si>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</si>
  <si>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</si>
  <si>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</si>
  <si>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</si>
  <si>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</si>
  <si>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</si>
  <si>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</si>
  <si>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</si>
  <si>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</si>
  <si>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</si>
  <si>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</si>
  <si>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</si>
  <si>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</si>
  <si>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</si>
  <si>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</si>
  <si>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</si>
  <si>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</si>
  <si>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</si>
  <si>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</si>
  <si>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</si>
  <si>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</si>
  <si>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</si>
  <si>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</si>
  <si>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</si>
  <si>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</si>
  <si>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</si>
  <si>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</si>
  <si>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</si>
  <si>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</si>
  <si>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</si>
  <si>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</si>
  <si>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</si>
  <si>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</si>
  <si>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</si>
  <si>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</si>
  <si>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</si>
  <si>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</si>
  <si>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</si>
  <si>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</si>
  <si>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</si>
  <si>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</si>
  <si>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</si>
  <si>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</si>
  <si>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</si>
  <si>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</si>
  <si>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</si>
  <si>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</si>
  <si>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</si>
  <si>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</si>
  <si>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</si>
  <si>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</si>
  <si>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</si>
  <si>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</si>
  <si>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</si>
  <si>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</si>
  <si>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</si>
  <si>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</si>
  <si>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</si>
  <si>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</si>
  <si>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</si>
  <si>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</si>
  <si>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</si>
  <si>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</si>
  <si>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</si>
  <si>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</si>
  <si>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</si>
  <si>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</si>
  <si>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</si>
  <si>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</si>
  <si>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</si>
  <si>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</si>
  <si>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</si>
  <si>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</si>
  <si>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</si>
  <si>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</si>
  <si>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</si>
  <si>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</si>
  <si>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</si>
  <si>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</si>
  <si>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</si>
  <si>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</si>
  <si>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</si>
  <si>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</si>
  <si>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</si>
  <si>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</si>
  <si>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</si>
  <si>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</si>
  <si>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</si>
  <si>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</si>
  <si>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</si>
  <si>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</si>
  <si>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</si>
  <si>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</si>
  <si>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</si>
  <si>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</si>
  <si>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</si>
  <si>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</si>
  <si>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</si>
  <si>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</si>
  <si>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</si>
  <si>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</si>
  <si>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</si>
  <si>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</si>
  <si>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</si>
  <si>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</si>
  <si>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</si>
  <si>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</si>
  <si>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</si>
  <si>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</si>
  <si>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</si>
  <si>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</si>
  <si>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</si>
  <si>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</si>
  <si>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</si>
  <si>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</si>
  <si>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</si>
  <si>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</si>
  <si>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</si>
  <si>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</si>
  <si>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</si>
  <si>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</si>
  <si>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</si>
  <si>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</si>
  <si>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</si>
  <si>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</si>
  <si>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</si>
  <si>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</si>
  <si>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</si>
  <si>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</si>
  <si>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</si>
  <si>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</si>
  <si>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</si>
  <si>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</si>
  <si>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</si>
  <si>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</si>
  <si>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</si>
  <si>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</si>
  <si>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</si>
  <si>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</si>
  <si>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</si>
  <si>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</si>
  <si>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</si>
  <si>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</si>
  <si>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</si>
  <si>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</si>
  <si>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</si>
  <si>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</si>
  <si>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</si>
  <si>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</si>
  <si>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</si>
  <si>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</si>
  <si>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</si>
  <si>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</si>
  <si>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</si>
  <si>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</si>
  <si>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</si>
  <si>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</si>
  <si>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</si>
  <si>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</si>
  <si>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</si>
  <si>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</si>
  <si>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</si>
  <si>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</si>
  <si>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</si>
  <si>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</si>
  <si>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</si>
  <si>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</si>
  <si>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</si>
  <si>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</si>
  <si>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</si>
  <si>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</si>
  <si>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</si>
  <si>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</si>
  <si>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</si>
  <si>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</si>
  <si>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</si>
  <si>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</si>
  <si>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</si>
  <si>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</si>
  <si>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</si>
  <si>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</si>
  <si>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</si>
  <si>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</si>
  <si>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</si>
  <si>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</si>
  <si>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обеспечению устойчивого функционирования объектов теплоснабжения)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</si>
  <si>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</si>
  <si>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</si>
  <si>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</si>
  <si>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</si>
  <si>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</si>
  <si>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</si>
  <si>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</si>
  <si>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</si>
  <si>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</si>
  <si>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</si>
  <si>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</si>
  <si>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</si>
  <si>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</si>
  <si>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</si>
  <si>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</si>
  <si>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</si>
  <si>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</si>
  <si>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</si>
  <si>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</si>
  <si>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</si>
  <si>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</si>
  <si>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</si>
  <si>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 xml:space="preserve">Муниципальная программа "Комплексное развитие территории муниципального образования Тель мановского сельского поселения Тосненского района"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</si>
  <si>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</si>
  <si>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</si>
  <si>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</si>
  <si>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2021-2022</t>
  </si>
  <si>
    <t>2021-2023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</si>
  <si>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</si>
  <si>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</si>
  <si>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</si>
  <si>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</si>
  <si>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</si>
  <si>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</si>
  <si>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</si>
  <si>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</si>
  <si>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</si>
  <si>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</si>
  <si>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</si>
  <si>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</si>
  <si>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             на  2021  год и на плановый период 2022 и 2023 годов</t>
  </si>
  <si>
    <t>классификации расходов бюджетов  на 2021 год и на плановый период 2022 и 2023 годов</t>
  </si>
  <si>
    <t>2023 год</t>
  </si>
  <si>
    <t>2023 г</t>
  </si>
  <si>
    <t xml:space="preserve">  на 2021 год и на плановый период 2022 и 2023 годов</t>
  </si>
  <si>
    <t xml:space="preserve">    от  "13" мая  2020 года № 168</t>
  </si>
  <si>
    <t xml:space="preserve">на 2021 год </t>
  </si>
  <si>
    <t>на 2021 год и на плановый период 2022 и 2023 годов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</si>
  <si>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</si>
  <si>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</si>
  <si>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</si>
  <si>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</si>
  <si>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условно утвержденные расходы</t>
  </si>
  <si>
    <t>Всего с условно утвержденными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</si>
  <si>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2021 год и на плановый период 2022 и 2023 годов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</si>
  <si>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</si>
  <si>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</si>
  <si>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Муниципальная программа 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</si>
  <si>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</si>
  <si>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 xml:space="preserve"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области" 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</si>
  <si>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</si>
  <si>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</si>
  <si>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</si>
  <si>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</si>
  <si>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</si>
  <si>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</si>
  <si>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</si>
  <si>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</si>
  <si>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</si>
  <si>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 xml:space="preserve">    от  "22" декабря  2020 года № 187</t>
  </si>
  <si>
    <t xml:space="preserve">    от  "  " февраля  2021 года № 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</si>
  <si>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</si>
  <si>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>Субсидии бюджетам сельских поселений на обеспечение комплексного развития сельских территорий (благоустройство территории)</t>
  </si>
  <si>
    <t>10 1 01 S4200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</si>
  <si>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</si>
  <si>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 xml:space="preserve">    от  "  " апреля  2021 года №  </t>
  </si>
  <si>
    <t>99 9 01 05760</t>
  </si>
  <si>
    <t>Приложение  № 3</t>
  </si>
  <si>
    <t>Иные межбюджетные трансферты бюджету района из бюджетов поселений на осуществления отдельных полномочий по осуществлению градостроительной деятельности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</si>
  <si>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</t>
    </r>
    <r>
      <rPr>
        <sz val="10"/>
        <color indexed="10"/>
        <rFont val="Times New Roman"/>
        <family val="1"/>
        <charset val="204"/>
      </rPr>
      <t/>
    </r>
  </si>
  <si>
    <t>Приложение № 8</t>
  </si>
  <si>
    <t>Приложение  № 1</t>
  </si>
  <si>
    <t xml:space="preserve">     от  "13" мая  2021 года № 216  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</si>
  <si>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области"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</si>
  <si>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</si>
  <si>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Основное мероприятие "Благоустройство территории муниципального образования Тельмановское сельского поселения Тосненского района"</t>
  </si>
  <si>
    <t>31 2 01 15670</t>
  </si>
  <si>
    <t>31 1 01 15760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</si>
  <si>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</si>
  <si>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</si>
  <si>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Выполнение других обязательств муниципальных образований </t>
  </si>
  <si>
    <t xml:space="preserve">    от  " 22 " сентября  2021 года № 221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</si>
</sst>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  <numFmt numFmtId="183" formatCode="#,##0.00000_ ;\-#,##0.00000\ "/>
    <numFmt numFmtId="184" formatCode="0.00000"/>
    <numFmt numFmtId="185" formatCode="#,##0.0000000_ ;\-#,##0.0000000\ "/>
  </numFmts>
  <fonts count="112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0"/>
      <color indexed="8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8">
    <xf numFmtId="0" fontId="0" fillId="0" borderId="0"/>
    <xf numFmtId="165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8" fillId="0" borderId="0"/>
    <xf numFmtId="0" fontId="10" fillId="0" borderId="0"/>
    <xf numFmtId="0" fontId="9" fillId="0" borderId="0"/>
    <xf numFmtId="0" fontId="10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38" fillId="0" borderId="0"/>
    <xf numFmtId="0" fontId="3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52" fillId="0" borderId="0"/>
    <xf numFmtId="170" fontId="52" fillId="0" borderId="0" applyFont="0" applyFill="0" applyBorder="0" applyAlignment="0" applyProtection="0"/>
    <xf numFmtId="0" fontId="52" fillId="0" borderId="0"/>
    <xf numFmtId="0" fontId="9" fillId="0" borderId="0"/>
    <xf numFmtId="17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671">
    <xf numFmtId="0" fontId="0" fillId="0" borderId="0" xfId="0"/>
    <xf numFmtId="0" fontId="9" fillId="0" borderId="0" xfId="3" applyFont="1" applyFill="1"/>
    <xf numFmtId="0" fontId="9" fillId="0" borderId="0" xfId="3" applyFont="1" applyFill="1" applyBorder="1"/>
    <xf numFmtId="166" fontId="9" fillId="0" borderId="0" xfId="1" applyNumberFormat="1" applyFont="1" applyFill="1" applyAlignment="1">
      <alignment horizontal="right"/>
    </xf>
    <xf numFmtId="0" fontId="9" fillId="0" borderId="0" xfId="3" applyFont="1" applyFill="1" applyAlignment="1">
      <alignment horizontal="center" vertical="center"/>
    </xf>
    <xf numFmtId="0" fontId="9" fillId="0" borderId="0" xfId="3" applyFont="1" applyFill="1" applyAlignment="1">
      <alignment horizontal="center"/>
    </xf>
    <xf numFmtId="0" fontId="9" fillId="0" borderId="0" xfId="3" applyFont="1" applyFill="1" applyAlignment="1">
      <alignment horizontal="left" vertical="center"/>
    </xf>
    <xf numFmtId="166" fontId="11" fillId="0" borderId="1" xfId="1" applyNumberFormat="1" applyFont="1" applyFill="1" applyBorder="1" applyAlignment="1">
      <alignment horizontal="right" vertical="center" wrapText="1"/>
    </xf>
    <xf numFmtId="166" fontId="9" fillId="0" borderId="1" xfId="1" applyNumberFormat="1" applyFont="1" applyFill="1" applyBorder="1" applyAlignment="1">
      <alignment horizontal="right"/>
    </xf>
    <xf numFmtId="49" fontId="11" fillId="0" borderId="1" xfId="3" applyNumberFormat="1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9" fillId="0" borderId="1" xfId="3" applyFont="1" applyFill="1" applyBorder="1" applyAlignment="1">
      <alignment horizontal="center" vertical="center"/>
    </xf>
    <xf numFmtId="0" fontId="9" fillId="0" borderId="1" xfId="3" applyFont="1" applyFill="1" applyBorder="1" applyAlignment="1">
      <alignment horizontal="left" vertical="center"/>
    </xf>
    <xf numFmtId="0" fontId="9" fillId="0" borderId="1" xfId="3" applyFont="1" applyFill="1" applyBorder="1"/>
    <xf numFmtId="166" fontId="12" fillId="0" borderId="1" xfId="1" applyNumberFormat="1" applyFont="1" applyFill="1" applyBorder="1" applyAlignment="1">
      <alignment horizontal="right"/>
    </xf>
    <xf numFmtId="0" fontId="12" fillId="0" borderId="1" xfId="0" applyFont="1" applyFill="1" applyBorder="1" applyAlignment="1">
      <alignment horizontal="justify" vertical="top" wrapText="1"/>
    </xf>
    <xf numFmtId="0" fontId="12" fillId="0" borderId="1" xfId="0" applyFont="1" applyFill="1" applyBorder="1"/>
    <xf numFmtId="166" fontId="13" fillId="0" borderId="2" xfId="1" applyNumberFormat="1" applyFont="1" applyFill="1" applyBorder="1" applyAlignment="1">
      <alignment horizontal="right"/>
    </xf>
    <xf numFmtId="166" fontId="14" fillId="0" borderId="2" xfId="1" applyNumberFormat="1" applyFont="1" applyFill="1" applyBorder="1" applyAlignment="1">
      <alignment horizontal="right"/>
    </xf>
    <xf numFmtId="166" fontId="9" fillId="0" borderId="2" xfId="1" applyNumberFormat="1" applyFont="1" applyFill="1" applyBorder="1" applyAlignment="1">
      <alignment horizontal="right"/>
    </xf>
    <xf numFmtId="0" fontId="9" fillId="0" borderId="2" xfId="3" applyFont="1" applyFill="1" applyBorder="1" applyAlignment="1">
      <alignment horizontal="center" vertical="center"/>
    </xf>
    <xf numFmtId="49" fontId="13" fillId="0" borderId="2" xfId="3" applyNumberFormat="1" applyFont="1" applyFill="1" applyBorder="1" applyAlignment="1" applyProtection="1">
      <alignment horizontal="center" vertical="center" wrapText="1"/>
    </xf>
    <xf numFmtId="0" fontId="9" fillId="0" borderId="2" xfId="3" applyFont="1" applyFill="1" applyBorder="1" applyAlignment="1">
      <alignment horizontal="center"/>
    </xf>
    <xf numFmtId="0" fontId="12" fillId="0" borderId="2" xfId="3" applyNumberFormat="1" applyFont="1" applyFill="1" applyBorder="1" applyAlignment="1" applyProtection="1">
      <alignment horizontal="left" vertical="center" wrapText="1"/>
    </xf>
    <xf numFmtId="0" fontId="9" fillId="0" borderId="2" xfId="3" applyFont="1" applyFill="1" applyBorder="1"/>
    <xf numFmtId="49" fontId="11" fillId="0" borderId="4" xfId="3" applyNumberFormat="1" applyFont="1" applyFill="1" applyBorder="1" applyAlignment="1">
      <alignment horizontal="center" vertical="center" wrapText="1"/>
    </xf>
    <xf numFmtId="0" fontId="9" fillId="0" borderId="5" xfId="3" applyFont="1" applyFill="1" applyBorder="1"/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168" fontId="12" fillId="0" borderId="1" xfId="3" applyNumberFormat="1" applyFont="1" applyFill="1" applyBorder="1"/>
    <xf numFmtId="168" fontId="15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9" fillId="0" borderId="8" xfId="3" applyFont="1" applyFill="1" applyBorder="1"/>
    <xf numFmtId="49" fontId="12" fillId="0" borderId="1" xfId="3" applyNumberFormat="1" applyFont="1" applyFill="1" applyBorder="1" applyAlignment="1">
      <alignment horizontal="center" vertical="center" wrapText="1"/>
    </xf>
    <xf numFmtId="49" fontId="16" fillId="0" borderId="1" xfId="3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166" fontId="13" fillId="0" borderId="1" xfId="1" applyNumberFormat="1" applyFont="1" applyFill="1" applyBorder="1" applyAlignment="1">
      <alignment horizontal="right"/>
    </xf>
    <xf numFmtId="49" fontId="13" fillId="0" borderId="1" xfId="3" applyNumberFormat="1" applyFont="1" applyFill="1" applyBorder="1" applyAlignment="1" applyProtection="1">
      <alignment horizontal="center" vertical="center" wrapText="1"/>
    </xf>
    <xf numFmtId="0" fontId="12" fillId="0" borderId="1" xfId="3" applyNumberFormat="1" applyFont="1" applyFill="1" applyBorder="1" applyAlignment="1" applyProtection="1">
      <alignment horizontal="left" vertical="center" wrapText="1"/>
    </xf>
    <xf numFmtId="0" fontId="12" fillId="0" borderId="10" xfId="0" applyFont="1" applyFill="1" applyBorder="1"/>
    <xf numFmtId="0" fontId="9" fillId="0" borderId="12" xfId="3" applyFont="1" applyFill="1" applyBorder="1"/>
    <xf numFmtId="49" fontId="15" fillId="0" borderId="0" xfId="3" applyNumberFormat="1" applyFont="1" applyFill="1" applyBorder="1" applyAlignment="1">
      <alignment horizontal="center" vertical="center" wrapText="1"/>
    </xf>
    <xf numFmtId="0" fontId="15" fillId="0" borderId="7" xfId="3" applyFont="1" applyFill="1" applyBorder="1" applyAlignment="1">
      <alignment horizontal="left" vertical="center" wrapText="1"/>
    </xf>
    <xf numFmtId="0" fontId="9" fillId="0" borderId="15" xfId="3" applyFont="1" applyFill="1" applyBorder="1"/>
    <xf numFmtId="0" fontId="9" fillId="0" borderId="16" xfId="3" applyFont="1" applyFill="1" applyBorder="1"/>
    <xf numFmtId="49" fontId="15" fillId="0" borderId="16" xfId="3" applyNumberFormat="1" applyFont="1" applyFill="1" applyBorder="1" applyAlignment="1">
      <alignment horizontal="center" vertical="center" wrapText="1"/>
    </xf>
    <xf numFmtId="168" fontId="11" fillId="0" borderId="9" xfId="3" applyNumberFormat="1" applyFont="1" applyFill="1" applyBorder="1" applyAlignment="1">
      <alignment vertical="center" wrapText="1"/>
    </xf>
    <xf numFmtId="168" fontId="11" fillId="0" borderId="1" xfId="3" applyNumberFormat="1" applyFont="1" applyFill="1" applyBorder="1" applyAlignment="1">
      <alignment vertical="center" wrapText="1"/>
    </xf>
    <xf numFmtId="49" fontId="11" fillId="0" borderId="1" xfId="3" applyNumberFormat="1" applyFont="1" applyFill="1" applyBorder="1" applyAlignment="1">
      <alignment vertical="center" wrapText="1"/>
    </xf>
    <xf numFmtId="0" fontId="11" fillId="0" borderId="7" xfId="3" applyFont="1" applyFill="1" applyBorder="1" applyAlignment="1">
      <alignment horizontal="left" vertical="center" wrapText="1"/>
    </xf>
    <xf numFmtId="168" fontId="16" fillId="0" borderId="9" xfId="3" applyNumberFormat="1" applyFont="1" applyFill="1" applyBorder="1" applyAlignment="1">
      <alignment vertical="center" wrapText="1"/>
    </xf>
    <xf numFmtId="168" fontId="16" fillId="0" borderId="1" xfId="3" applyNumberFormat="1" applyFont="1" applyFill="1" applyBorder="1" applyAlignment="1">
      <alignment vertical="center" wrapText="1"/>
    </xf>
    <xf numFmtId="0" fontId="16" fillId="0" borderId="7" xfId="3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168" fontId="12" fillId="0" borderId="1" xfId="3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justify" vertical="top" wrapText="1"/>
    </xf>
    <xf numFmtId="168" fontId="11" fillId="0" borderId="17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0" fontId="11" fillId="0" borderId="7" xfId="3" applyFont="1" applyFill="1" applyBorder="1" applyAlignment="1">
      <alignment vertical="top" wrapText="1"/>
    </xf>
    <xf numFmtId="168" fontId="9" fillId="0" borderId="7" xfId="3" applyNumberFormat="1" applyFont="1" applyFill="1" applyBorder="1"/>
    <xf numFmtId="168" fontId="9" fillId="0" borderId="1" xfId="3" applyNumberFormat="1" applyFont="1" applyFill="1" applyBorder="1"/>
    <xf numFmtId="168" fontId="11" fillId="0" borderId="10" xfId="3" applyNumberFormat="1" applyFont="1" applyFill="1" applyBorder="1" applyAlignment="1">
      <alignment vertical="center" wrapText="1"/>
    </xf>
    <xf numFmtId="168" fontId="13" fillId="0" borderId="17" xfId="3" applyNumberFormat="1" applyFont="1" applyFill="1" applyBorder="1" applyAlignment="1">
      <alignment horizontal="right" vertical="center" wrapText="1"/>
    </xf>
    <xf numFmtId="168" fontId="13" fillId="0" borderId="18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5" fillId="0" borderId="10" xfId="3" applyNumberFormat="1" applyFont="1" applyFill="1" applyBorder="1" applyAlignment="1">
      <alignment horizontal="center" vertical="center" wrapText="1"/>
    </xf>
    <xf numFmtId="0" fontId="12" fillId="0" borderId="7" xfId="4" applyFont="1" applyFill="1" applyBorder="1" applyAlignment="1">
      <alignment vertical="top" wrapText="1"/>
    </xf>
    <xf numFmtId="167" fontId="11" fillId="0" borderId="1" xfId="1" applyNumberFormat="1" applyFont="1" applyFill="1" applyBorder="1" applyAlignment="1">
      <alignment vertical="center" wrapText="1"/>
    </xf>
    <xf numFmtId="166" fontId="11" fillId="0" borderId="18" xfId="1" applyNumberFormat="1" applyFont="1" applyFill="1" applyBorder="1" applyAlignment="1">
      <alignment horizontal="right" vertical="center" wrapText="1"/>
    </xf>
    <xf numFmtId="166" fontId="11" fillId="0" borderId="10" xfId="1" applyNumberFormat="1" applyFont="1" applyFill="1" applyBorder="1" applyAlignment="1">
      <alignment horizontal="right" vertical="center" wrapText="1"/>
    </xf>
    <xf numFmtId="0" fontId="18" fillId="0" borderId="7" xfId="3" applyFont="1" applyFill="1" applyBorder="1" applyAlignment="1">
      <alignment horizontal="left" vertical="center" wrapText="1"/>
    </xf>
    <xf numFmtId="167" fontId="11" fillId="0" borderId="15" xfId="1" applyNumberFormat="1" applyFont="1" applyFill="1" applyBorder="1" applyAlignment="1">
      <alignment horizontal="right" vertical="center" wrapText="1"/>
    </xf>
    <xf numFmtId="168" fontId="12" fillId="0" borderId="0" xfId="3" applyNumberFormat="1" applyFont="1" applyFill="1" applyBorder="1" applyAlignment="1">
      <alignment horizontal="right" vertical="center"/>
    </xf>
    <xf numFmtId="49" fontId="11" fillId="0" borderId="0" xfId="3" applyNumberFormat="1" applyFont="1" applyFill="1" applyBorder="1" applyAlignment="1">
      <alignment vertical="center" wrapText="1"/>
    </xf>
    <xf numFmtId="167" fontId="11" fillId="0" borderId="0" xfId="1" applyNumberFormat="1" applyFont="1" applyFill="1" applyBorder="1" applyAlignment="1">
      <alignment horizontal="right" vertical="center" wrapText="1"/>
    </xf>
    <xf numFmtId="49" fontId="11" fillId="0" borderId="0" xfId="3" applyNumberFormat="1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left" vertical="center" wrapText="1"/>
    </xf>
    <xf numFmtId="0" fontId="12" fillId="0" borderId="1" xfId="3" applyFont="1" applyFill="1" applyBorder="1" applyAlignment="1">
      <alignment horizontal="center" vertical="center"/>
    </xf>
    <xf numFmtId="166" fontId="16" fillId="0" borderId="1" xfId="1" applyNumberFormat="1" applyFont="1" applyFill="1" applyBorder="1" applyAlignment="1">
      <alignment horizontal="right" vertical="center" wrapText="1"/>
    </xf>
    <xf numFmtId="0" fontId="13" fillId="0" borderId="1" xfId="3" applyFont="1" applyFill="1" applyBorder="1" applyAlignment="1">
      <alignment horizontal="center" vertical="center"/>
    </xf>
    <xf numFmtId="168" fontId="13" fillId="0" borderId="6" xfId="3" applyNumberFormat="1" applyFont="1" applyFill="1" applyBorder="1" applyAlignment="1">
      <alignment horizontal="right" vertical="center" wrapText="1"/>
    </xf>
    <xf numFmtId="168" fontId="13" fillId="0" borderId="7" xfId="3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wrapText="1"/>
    </xf>
    <xf numFmtId="0" fontId="19" fillId="0" borderId="0" xfId="3" applyFont="1" applyFill="1"/>
    <xf numFmtId="0" fontId="19" fillId="0" borderId="0" xfId="3" applyFont="1" applyFill="1" applyBorder="1"/>
    <xf numFmtId="0" fontId="19" fillId="0" borderId="8" xfId="3" applyFont="1" applyFill="1" applyBorder="1"/>
    <xf numFmtId="0" fontId="12" fillId="0" borderId="0" xfId="0" applyFont="1" applyFill="1" applyBorder="1"/>
    <xf numFmtId="167" fontId="16" fillId="0" borderId="1" xfId="1" applyNumberFormat="1" applyFont="1" applyFill="1" applyBorder="1" applyAlignment="1">
      <alignment horizontal="right" vertical="center" wrapText="1"/>
    </xf>
    <xf numFmtId="0" fontId="11" fillId="0" borderId="1" xfId="3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left" vertical="center" wrapText="1"/>
    </xf>
    <xf numFmtId="0" fontId="14" fillId="0" borderId="8" xfId="3" applyFont="1" applyFill="1" applyBorder="1" applyAlignment="1">
      <alignment horizontal="center" vertical="center"/>
    </xf>
    <xf numFmtId="167" fontId="13" fillId="0" borderId="1" xfId="1" applyNumberFormat="1" applyFont="1" applyFill="1" applyBorder="1" applyAlignment="1">
      <alignment horizontal="right" vertical="center"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wrapText="1"/>
    </xf>
    <xf numFmtId="168" fontId="16" fillId="0" borderId="9" xfId="1" applyNumberFormat="1" applyFont="1" applyFill="1" applyBorder="1" applyAlignment="1">
      <alignment horizontal="right" vertical="center" wrapText="1"/>
    </xf>
    <xf numFmtId="168" fontId="16" fillId="0" borderId="1" xfId="1" applyNumberFormat="1" applyFont="1" applyFill="1" applyBorder="1" applyAlignment="1">
      <alignment horizontal="right" vertical="center" wrapText="1"/>
    </xf>
    <xf numFmtId="166" fontId="11" fillId="0" borderId="0" xfId="1" applyNumberFormat="1" applyFont="1" applyFill="1" applyBorder="1" applyAlignment="1">
      <alignment horizontal="right" vertical="center" wrapText="1"/>
    </xf>
    <xf numFmtId="49" fontId="12" fillId="0" borderId="19" xfId="5" applyNumberFormat="1" applyFont="1" applyFill="1" applyBorder="1" applyAlignment="1">
      <alignment vertical="center" wrapText="1"/>
    </xf>
    <xf numFmtId="0" fontId="12" fillId="0" borderId="0" xfId="0" applyFont="1" applyFill="1" applyBorder="1" applyAlignment="1">
      <alignment wrapText="1"/>
    </xf>
    <xf numFmtId="166" fontId="13" fillId="0" borderId="1" xfId="1" applyNumberFormat="1" applyFont="1" applyFill="1" applyBorder="1" applyAlignment="1">
      <alignment horizontal="right" vertical="center" wrapText="1"/>
    </xf>
    <xf numFmtId="0" fontId="20" fillId="0" borderId="7" xfId="4" applyFont="1" applyFill="1" applyBorder="1" applyAlignment="1">
      <alignment horizontal="left" vertical="center"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2" fillId="0" borderId="1" xfId="4" applyFont="1" applyFill="1" applyBorder="1" applyAlignment="1">
      <alignment horizontal="left" vertical="center" wrapText="1"/>
    </xf>
    <xf numFmtId="0" fontId="12" fillId="0" borderId="7" xfId="3" applyNumberFormat="1" applyFont="1" applyFill="1" applyBorder="1" applyAlignment="1" applyProtection="1">
      <alignment horizontal="left" vertical="center" wrapText="1"/>
    </xf>
    <xf numFmtId="0" fontId="12" fillId="0" borderId="7" xfId="0" applyFont="1" applyFill="1" applyBorder="1"/>
    <xf numFmtId="0" fontId="12" fillId="0" borderId="7" xfId="3" applyNumberFormat="1" applyFont="1" applyFill="1" applyBorder="1" applyAlignment="1">
      <alignment horizontal="left" vertical="center" wrapText="1" shrinkToFit="1"/>
    </xf>
    <xf numFmtId="169" fontId="12" fillId="0" borderId="1" xfId="4" applyNumberFormat="1" applyFont="1" applyFill="1" applyBorder="1" applyAlignment="1" applyProtection="1">
      <alignment horizontal="left" vertical="center" wrapText="1"/>
    </xf>
    <xf numFmtId="169" fontId="12" fillId="0" borderId="7" xfId="3" applyNumberFormat="1" applyFont="1" applyFill="1" applyBorder="1" applyAlignment="1">
      <alignment horizontal="left" vertical="center" wrapText="1"/>
    </xf>
    <xf numFmtId="169" fontId="12" fillId="0" borderId="7" xfId="3" applyNumberFormat="1" applyFont="1" applyFill="1" applyBorder="1" applyAlignment="1" applyProtection="1">
      <alignment horizontal="left" vertical="center" wrapText="1"/>
    </xf>
    <xf numFmtId="0" fontId="12" fillId="0" borderId="7" xfId="3" applyNumberFormat="1" applyFont="1" applyFill="1" applyBorder="1" applyAlignment="1" applyProtection="1">
      <alignment horizontal="left" vertical="center" wrapText="1" shrinkToFi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3" fillId="0" borderId="1" xfId="3" applyNumberFormat="1" applyFont="1" applyFill="1" applyBorder="1" applyAlignment="1">
      <alignment horizontal="center" vertical="center" wrapText="1"/>
    </xf>
    <xf numFmtId="0" fontId="12" fillId="0" borderId="7" xfId="4" applyFont="1" applyFill="1" applyBorder="1" applyAlignment="1">
      <alignment horizontal="left" vertical="center" wrapText="1"/>
    </xf>
    <xf numFmtId="0" fontId="12" fillId="0" borderId="1" xfId="4" applyNumberFormat="1" applyFont="1" applyFill="1" applyBorder="1" applyAlignment="1" applyProtection="1">
      <alignment horizontal="left" vertical="center" wrapText="1"/>
    </xf>
    <xf numFmtId="166" fontId="12" fillId="0" borderId="1" xfId="1" applyNumberFormat="1" applyFont="1" applyFill="1" applyBorder="1" applyAlignment="1">
      <alignment vertical="center"/>
    </xf>
    <xf numFmtId="167" fontId="12" fillId="0" borderId="1" xfId="1" applyNumberFormat="1" applyFont="1" applyFill="1" applyBorder="1" applyAlignment="1">
      <alignment vertical="center"/>
    </xf>
    <xf numFmtId="0" fontId="13" fillId="0" borderId="1" xfId="3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center" vertical="center" wrapText="1"/>
    </xf>
    <xf numFmtId="167" fontId="9" fillId="0" borderId="1" xfId="1" applyNumberFormat="1" applyFont="1" applyFill="1" applyBorder="1" applyAlignment="1">
      <alignment vertical="center"/>
    </xf>
    <xf numFmtId="166" fontId="21" fillId="0" borderId="1" xfId="3" applyNumberFormat="1" applyFont="1" applyFill="1" applyBorder="1" applyAlignment="1">
      <alignment vertical="center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168" fontId="13" fillId="0" borderId="9" xfId="1" applyNumberFormat="1" applyFont="1" applyFill="1" applyBorder="1" applyAlignment="1">
      <alignment horizontal="right" vertical="center" wrapText="1"/>
    </xf>
    <xf numFmtId="168" fontId="13" fillId="0" borderId="1" xfId="1" applyNumberFormat="1" applyFont="1" applyFill="1" applyBorder="1" applyAlignment="1">
      <alignment horizontal="right" vertical="center" wrapText="1"/>
    </xf>
    <xf numFmtId="0" fontId="13" fillId="0" borderId="7" xfId="3" applyFont="1" applyFill="1" applyBorder="1" applyAlignment="1">
      <alignment horizontal="left" vertical="center" wrapText="1"/>
    </xf>
    <xf numFmtId="168" fontId="16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6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2" fillId="0" borderId="7" xfId="0" applyFont="1" applyFill="1" applyBorder="1" applyAlignment="1">
      <alignment horizontal="left" vertical="center"/>
    </xf>
    <xf numFmtId="49" fontId="16" fillId="0" borderId="0" xfId="3" applyNumberFormat="1" applyFont="1" applyFill="1" applyBorder="1" applyAlignment="1">
      <alignment vertical="center" wrapText="1"/>
    </xf>
    <xf numFmtId="49" fontId="16" fillId="0" borderId="1" xfId="3" applyNumberFormat="1" applyFont="1" applyFill="1" applyBorder="1" applyAlignment="1">
      <alignment vertical="center" wrapText="1"/>
    </xf>
    <xf numFmtId="0" fontId="16" fillId="0" borderId="7" xfId="3" applyFont="1" applyFill="1" applyBorder="1" applyAlignment="1">
      <alignment vertical="top" wrapText="1"/>
    </xf>
    <xf numFmtId="0" fontId="11" fillId="0" borderId="7" xfId="3" applyFont="1" applyFill="1" applyBorder="1" applyAlignment="1">
      <alignment horizontal="center" vertical="center" wrapText="1"/>
    </xf>
    <xf numFmtId="0" fontId="13" fillId="0" borderId="7" xfId="3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left" vertical="center" wrapText="1"/>
    </xf>
    <xf numFmtId="167" fontId="16" fillId="0" borderId="1" xfId="1" applyNumberFormat="1" applyFont="1" applyFill="1" applyBorder="1" applyAlignment="1">
      <alignment vertical="center" wrapText="1"/>
    </xf>
    <xf numFmtId="165" fontId="11" fillId="0" borderId="1" xfId="1" applyFont="1" applyFill="1" applyBorder="1" applyAlignment="1">
      <alignment horizontal="right" vertical="center" wrapText="1"/>
    </xf>
    <xf numFmtId="165" fontId="16" fillId="0" borderId="1" xfId="1" applyFont="1" applyFill="1" applyBorder="1" applyAlignment="1">
      <alignment horizontal="right" vertical="center" wrapText="1"/>
    </xf>
    <xf numFmtId="167" fontId="11" fillId="0" borderId="2" xfId="1" applyNumberFormat="1" applyFont="1" applyFill="1" applyBorder="1" applyAlignment="1">
      <alignment horizontal="right" vertical="center" wrapText="1"/>
    </xf>
    <xf numFmtId="166" fontId="16" fillId="0" borderId="2" xfId="1" applyNumberFormat="1" applyFont="1" applyFill="1" applyBorder="1" applyAlignment="1">
      <alignment horizontal="right" vertical="center" wrapText="1"/>
    </xf>
    <xf numFmtId="165" fontId="16" fillId="0" borderId="2" xfId="1" applyFont="1" applyFill="1" applyBorder="1" applyAlignment="1">
      <alignment horizontal="right" vertical="center" wrapTex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18" xfId="3" applyFont="1" applyFill="1" applyBorder="1" applyAlignment="1">
      <alignment vertical="top" wrapText="1"/>
    </xf>
    <xf numFmtId="0" fontId="9" fillId="0" borderId="21" xfId="3" applyFont="1" applyFill="1" applyBorder="1"/>
    <xf numFmtId="0" fontId="20" fillId="0" borderId="0" xfId="4" applyFont="1" applyFill="1" applyBorder="1" applyAlignment="1">
      <alignment horizontal="left" vertical="center" wrapText="1"/>
    </xf>
    <xf numFmtId="167" fontId="12" fillId="0" borderId="1" xfId="4" applyNumberFormat="1" applyFont="1" applyFill="1" applyBorder="1" applyAlignment="1">
      <alignment horizontal="left" vertical="center" wrapText="1"/>
    </xf>
    <xf numFmtId="0" fontId="20" fillId="0" borderId="1" xfId="4" applyFont="1" applyFill="1" applyBorder="1" applyAlignment="1">
      <alignment horizontal="left" vertical="center" wrapText="1"/>
    </xf>
    <xf numFmtId="0" fontId="20" fillId="0" borderId="8" xfId="4" applyFont="1" applyFill="1" applyBorder="1" applyAlignment="1">
      <alignment horizontal="left" vertical="center" wrapText="1"/>
    </xf>
    <xf numFmtId="168" fontId="16" fillId="0" borderId="15" xfId="3" applyNumberFormat="1" applyFont="1" applyFill="1" applyBorder="1" applyAlignment="1">
      <alignment vertical="center" wrapText="1"/>
    </xf>
    <xf numFmtId="168" fontId="16" fillId="0" borderId="23" xfId="3" applyNumberFormat="1" applyFont="1" applyFill="1" applyBorder="1" applyAlignment="1">
      <alignment vertical="center" wrapText="1"/>
    </xf>
    <xf numFmtId="49" fontId="16" fillId="0" borderId="23" xfId="3" applyNumberFormat="1" applyFont="1" applyFill="1" applyBorder="1" applyAlignment="1">
      <alignment horizontal="center" vertical="center" wrapText="1"/>
    </xf>
    <xf numFmtId="49" fontId="16" fillId="0" borderId="23" xfId="3" applyNumberFormat="1" applyFont="1" applyFill="1" applyBorder="1" applyAlignment="1">
      <alignment vertical="center" wrapText="1"/>
    </xf>
    <xf numFmtId="0" fontId="16" fillId="0" borderId="23" xfId="3" applyFont="1" applyFill="1" applyBorder="1" applyAlignment="1">
      <alignment horizontal="center" vertical="center" wrapText="1"/>
    </xf>
    <xf numFmtId="0" fontId="16" fillId="0" borderId="15" xfId="3" applyFont="1" applyFill="1" applyBorder="1" applyAlignment="1">
      <alignment vertical="top" wrapText="1"/>
    </xf>
    <xf numFmtId="0" fontId="14" fillId="0" borderId="24" xfId="3" applyFont="1" applyFill="1" applyBorder="1" applyAlignment="1">
      <alignment horizontal="center" vertical="center"/>
    </xf>
    <xf numFmtId="0" fontId="24" fillId="0" borderId="7" xfId="3" applyFont="1" applyFill="1" applyBorder="1" applyAlignment="1">
      <alignment horizontal="left" vertical="center" wrapText="1"/>
    </xf>
    <xf numFmtId="168" fontId="16" fillId="0" borderId="1" xfId="3" applyNumberFormat="1" applyFont="1" applyFill="1" applyBorder="1" applyAlignment="1">
      <alignment horizontal="center" vertical="center" wrapText="1"/>
    </xf>
    <xf numFmtId="166" fontId="11" fillId="0" borderId="7" xfId="1" applyNumberFormat="1" applyFont="1" applyFill="1" applyBorder="1" applyAlignment="1">
      <alignment horizontal="right" vertical="center" wrapText="1"/>
    </xf>
    <xf numFmtId="49" fontId="23" fillId="0" borderId="1" xfId="3" applyNumberFormat="1" applyFont="1" applyFill="1" applyBorder="1" applyAlignment="1">
      <alignment horizontal="center" vertical="center" wrapText="1"/>
    </xf>
    <xf numFmtId="49" fontId="23" fillId="0" borderId="14" xfId="3" applyNumberFormat="1" applyFont="1" applyFill="1" applyBorder="1" applyAlignment="1">
      <alignment horizontal="center" vertical="center" wrapText="1"/>
    </xf>
    <xf numFmtId="0" fontId="22" fillId="0" borderId="0" xfId="3" applyFont="1" applyFill="1"/>
    <xf numFmtId="0" fontId="22" fillId="0" borderId="0" xfId="3" applyFont="1" applyFill="1" applyBorder="1"/>
    <xf numFmtId="0" fontId="12" fillId="0" borderId="7" xfId="3" applyNumberFormat="1" applyFont="1" applyFill="1" applyBorder="1" applyAlignment="1">
      <alignment horizontal="left" vertical="center" wrapText="1"/>
    </xf>
    <xf numFmtId="0" fontId="22" fillId="0" borderId="8" xfId="3" applyFont="1" applyFill="1" applyBorder="1"/>
    <xf numFmtId="165" fontId="12" fillId="0" borderId="1" xfId="1" applyFont="1" applyFill="1" applyBorder="1" applyAlignment="1">
      <alignment horizontal="right" vertical="center" wrapText="1"/>
    </xf>
    <xf numFmtId="0" fontId="11" fillId="0" borderId="7" xfId="3" applyFont="1" applyFill="1" applyBorder="1" applyAlignment="1">
      <alignment wrapText="1"/>
    </xf>
    <xf numFmtId="0" fontId="24" fillId="0" borderId="7" xfId="3" applyFont="1" applyFill="1" applyBorder="1" applyAlignment="1">
      <alignment wrapText="1"/>
    </xf>
    <xf numFmtId="0" fontId="12" fillId="0" borderId="1" xfId="4" applyFont="1" applyFill="1" applyBorder="1" applyAlignment="1">
      <alignment horizontal="left" vertical="top" wrapText="1"/>
    </xf>
    <xf numFmtId="0" fontId="12" fillId="0" borderId="1" xfId="3" applyFont="1" applyFill="1" applyBorder="1" applyAlignment="1">
      <alignment horizontal="left" vertical="center" wrapText="1"/>
    </xf>
    <xf numFmtId="0" fontId="25" fillId="0" borderId="0" xfId="6" applyFont="1" applyFill="1" applyBorder="1" applyAlignment="1"/>
    <xf numFmtId="170" fontId="9" fillId="0" borderId="0" xfId="2" applyFont="1" applyFill="1" applyBorder="1"/>
    <xf numFmtId="167" fontId="16" fillId="0" borderId="7" xfId="1" applyNumberFormat="1" applyFont="1" applyFill="1" applyBorder="1" applyAlignment="1">
      <alignment vertical="center" wrapText="1"/>
    </xf>
    <xf numFmtId="167" fontId="11" fillId="0" borderId="7" xfId="1" applyNumberFormat="1" applyFont="1" applyFill="1" applyBorder="1" applyAlignment="1">
      <alignment vertical="center" wrapText="1"/>
    </xf>
    <xf numFmtId="166" fontId="16" fillId="0" borderId="1" xfId="3" applyNumberFormat="1" applyFont="1" applyFill="1" applyBorder="1" applyAlignment="1">
      <alignment vertical="center" wrapText="1"/>
    </xf>
    <xf numFmtId="167" fontId="16" fillId="0" borderId="7" xfId="1" applyNumberFormat="1" applyFont="1" applyFill="1" applyBorder="1" applyAlignment="1">
      <alignment horizontal="center" vertical="center"/>
    </xf>
    <xf numFmtId="166" fontId="9" fillId="0" borderId="0" xfId="1" applyNumberFormat="1" applyFont="1" applyFill="1" applyBorder="1" applyAlignment="1">
      <alignment horizontal="right"/>
    </xf>
    <xf numFmtId="0" fontId="9" fillId="0" borderId="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/>
    </xf>
    <xf numFmtId="168" fontId="16" fillId="0" borderId="6" xfId="1" applyNumberFormat="1" applyFont="1" applyFill="1" applyBorder="1" applyAlignment="1">
      <alignment horizontal="right" vertical="center"/>
    </xf>
    <xf numFmtId="168" fontId="16" fillId="0" borderId="7" xfId="1" applyNumberFormat="1" applyFont="1" applyFill="1" applyBorder="1" applyAlignment="1">
      <alignment horizontal="right" vertical="center"/>
    </xf>
    <xf numFmtId="49" fontId="25" fillId="0" borderId="7" xfId="0" applyNumberFormat="1" applyFont="1" applyFill="1" applyBorder="1" applyAlignment="1">
      <alignment horizontal="left" vertical="top" wrapText="1"/>
    </xf>
    <xf numFmtId="166" fontId="16" fillId="0" borderId="26" xfId="1" applyNumberFormat="1" applyFont="1" applyFill="1" applyBorder="1" applyAlignment="1">
      <alignment horizontal="center" vertical="center"/>
    </xf>
    <xf numFmtId="169" fontId="26" fillId="0" borderId="26" xfId="0" applyNumberFormat="1" applyFont="1" applyFill="1" applyBorder="1" applyAlignment="1">
      <alignment horizontal="center" vertical="top" wrapText="1"/>
    </xf>
    <xf numFmtId="166" fontId="9" fillId="0" borderId="27" xfId="1" applyNumberFormat="1" applyFont="1" applyFill="1" applyBorder="1" applyAlignment="1">
      <alignment horizontal="right"/>
    </xf>
    <xf numFmtId="0" fontId="16" fillId="0" borderId="26" xfId="3" applyFont="1" applyFill="1" applyBorder="1" applyAlignment="1">
      <alignment horizontal="center" vertical="center" wrapText="1"/>
    </xf>
    <xf numFmtId="0" fontId="9" fillId="0" borderId="27" xfId="3" applyFont="1" applyFill="1" applyBorder="1" applyAlignment="1">
      <alignment horizontal="center" vertical="center"/>
    </xf>
    <xf numFmtId="0" fontId="9" fillId="0" borderId="27" xfId="3" applyFont="1" applyFill="1" applyBorder="1" applyAlignment="1">
      <alignment horizontal="center"/>
    </xf>
    <xf numFmtId="0" fontId="16" fillId="0" borderId="28" xfId="3" applyFont="1" applyFill="1" applyBorder="1" applyAlignment="1">
      <alignment horizontal="center" vertical="center"/>
    </xf>
    <xf numFmtId="0" fontId="9" fillId="0" borderId="29" xfId="3" applyFont="1" applyFill="1" applyBorder="1"/>
    <xf numFmtId="0" fontId="24" fillId="0" borderId="1" xfId="3" applyFont="1" applyFill="1" applyBorder="1" applyAlignment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49" fontId="28" fillId="0" borderId="1" xfId="3" applyNumberFormat="1" applyFont="1" applyFill="1" applyBorder="1" applyAlignment="1">
      <alignment horizontal="center" vertical="center" wrapText="1"/>
    </xf>
    <xf numFmtId="0" fontId="28" fillId="0" borderId="7" xfId="3" applyFont="1" applyFill="1" applyBorder="1" applyAlignment="1">
      <alignment horizontal="left" vertical="center" wrapText="1"/>
    </xf>
    <xf numFmtId="0" fontId="12" fillId="0" borderId="0" xfId="0" applyFont="1" applyFill="1"/>
    <xf numFmtId="0" fontId="16" fillId="0" borderId="1" xfId="3" applyFont="1" applyFill="1" applyBorder="1" applyAlignment="1">
      <alignment horizontal="lef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166" fontId="28" fillId="0" borderId="1" xfId="1" applyNumberFormat="1" applyFont="1" applyFill="1" applyBorder="1" applyAlignment="1">
      <alignment horizontal="right" vertical="center" wrapText="1"/>
    </xf>
    <xf numFmtId="0" fontId="29" fillId="0" borderId="0" xfId="3" applyFont="1" applyFill="1" applyAlignment="1">
      <alignment horizontal="center" vertical="center"/>
    </xf>
    <xf numFmtId="49" fontId="30" fillId="0" borderId="1" xfId="3" applyNumberFormat="1" applyFont="1" applyFill="1" applyBorder="1" applyAlignment="1">
      <alignment horizontal="center" vertical="center" wrapText="1"/>
    </xf>
    <xf numFmtId="0" fontId="30" fillId="0" borderId="1" xfId="3" applyNumberFormat="1" applyFont="1" applyFill="1" applyBorder="1" applyAlignment="1">
      <alignment horizontal="center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1" xfId="3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vertical="center" wrapText="1"/>
    </xf>
    <xf numFmtId="168" fontId="16" fillId="0" borderId="7" xfId="3" applyNumberFormat="1" applyFont="1" applyFill="1" applyBorder="1" applyAlignment="1">
      <alignment vertical="center" wrapText="1"/>
    </xf>
    <xf numFmtId="168" fontId="12" fillId="0" borderId="7" xfId="3" applyNumberFormat="1" applyFont="1" applyFill="1" applyBorder="1" applyAlignment="1">
      <alignment horizontal="right" vertical="center"/>
    </xf>
    <xf numFmtId="49" fontId="11" fillId="0" borderId="10" xfId="3" applyNumberFormat="1" applyFont="1" applyFill="1" applyBorder="1" applyAlignment="1">
      <alignment vertical="center" wrapText="1"/>
    </xf>
    <xf numFmtId="0" fontId="12" fillId="0" borderId="0" xfId="0" applyFont="1" applyFill="1" applyAlignment="1">
      <alignment wrapText="1"/>
    </xf>
    <xf numFmtId="168" fontId="11" fillId="0" borderId="14" xfId="3" applyNumberFormat="1" applyFont="1" applyFill="1" applyBorder="1" applyAlignment="1">
      <alignment vertical="center" wrapText="1"/>
    </xf>
    <xf numFmtId="0" fontId="11" fillId="0" borderId="1" xfId="3" applyFont="1" applyFill="1" applyBorder="1" applyAlignment="1">
      <alignment wrapText="1"/>
    </xf>
    <xf numFmtId="0" fontId="24" fillId="0" borderId="1" xfId="3" applyFont="1" applyFill="1" applyBorder="1" applyAlignment="1">
      <alignment wrapText="1"/>
    </xf>
    <xf numFmtId="165" fontId="27" fillId="0" borderId="1" xfId="1" applyFont="1" applyFill="1" applyBorder="1" applyAlignment="1">
      <alignment horizontal="right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31" fillId="0" borderId="1" xfId="3" applyFont="1" applyFill="1" applyBorder="1" applyAlignment="1">
      <alignment wrapText="1"/>
    </xf>
    <xf numFmtId="0" fontId="13" fillId="0" borderId="1" xfId="3" applyFont="1" applyFill="1" applyBorder="1" applyAlignment="1">
      <alignment horizontal="left" vertical="center" wrapText="1"/>
    </xf>
    <xf numFmtId="167" fontId="30" fillId="0" borderId="1" xfId="1" applyNumberFormat="1" applyFont="1" applyFill="1" applyBorder="1" applyAlignment="1">
      <alignment horizontal="right" vertical="center" wrapText="1"/>
    </xf>
    <xf numFmtId="166" fontId="30" fillId="0" borderId="1" xfId="1" applyNumberFormat="1" applyFont="1" applyFill="1" applyBorder="1" applyAlignment="1">
      <alignment horizontal="right" vertical="center" wrapText="1"/>
    </xf>
    <xf numFmtId="49" fontId="12" fillId="0" borderId="1" xfId="3" applyNumberFormat="1" applyFont="1" applyFill="1" applyBorder="1" applyAlignment="1" applyProtection="1">
      <alignment horizontal="left" vertical="center" wrapText="1"/>
    </xf>
    <xf numFmtId="49" fontId="12" fillId="0" borderId="7" xfId="3" applyNumberFormat="1" applyFont="1" applyFill="1" applyBorder="1" applyAlignment="1" applyProtection="1">
      <alignment horizontal="left" vertical="center" wrapText="1"/>
    </xf>
    <xf numFmtId="0" fontId="27" fillId="0" borderId="1" xfId="3" applyFont="1" applyFill="1" applyBorder="1" applyAlignment="1">
      <alignment horizontal="center" vertical="center" wrapText="1"/>
    </xf>
    <xf numFmtId="49" fontId="28" fillId="0" borderId="7" xfId="3" applyNumberFormat="1" applyFont="1" applyFill="1" applyBorder="1" applyAlignment="1" applyProtection="1">
      <alignment horizontal="left" vertical="center" wrapText="1"/>
    </xf>
    <xf numFmtId="49" fontId="12" fillId="0" borderId="7" xfId="3" applyNumberFormat="1" applyFont="1" applyFill="1" applyBorder="1" applyAlignment="1">
      <alignment horizontal="left" vertical="center" wrapText="1"/>
    </xf>
    <xf numFmtId="169" fontId="12" fillId="0" borderId="1" xfId="3" applyNumberFormat="1" applyFont="1" applyFill="1" applyBorder="1" applyAlignment="1" applyProtection="1">
      <alignment horizontal="left" vertical="center" wrapText="1"/>
    </xf>
    <xf numFmtId="167" fontId="28" fillId="0" borderId="1" xfId="1" applyNumberFormat="1" applyFont="1" applyFill="1" applyBorder="1" applyAlignment="1">
      <alignment horizontal="right" vertical="center" wrapText="1"/>
    </xf>
    <xf numFmtId="0" fontId="28" fillId="0" borderId="1" xfId="3" applyFont="1" applyFill="1" applyBorder="1" applyAlignment="1">
      <alignment horizontal="center" vertical="center" wrapText="1"/>
    </xf>
    <xf numFmtId="167" fontId="22" fillId="0" borderId="1" xfId="1" applyNumberFormat="1" applyFont="1" applyFill="1" applyBorder="1" applyAlignment="1">
      <alignment horizontal="right" vertical="center" wrapText="1"/>
    </xf>
    <xf numFmtId="166" fontId="22" fillId="0" borderId="1" xfId="1" applyNumberFormat="1" applyFont="1" applyFill="1" applyBorder="1" applyAlignment="1">
      <alignment horizontal="right" vertical="center" wrapText="1"/>
    </xf>
    <xf numFmtId="0" fontId="22" fillId="0" borderId="1" xfId="3" applyFont="1" applyFill="1" applyBorder="1" applyAlignment="1">
      <alignment horizontal="center" vertical="center" wrapText="1"/>
    </xf>
    <xf numFmtId="0" fontId="22" fillId="0" borderId="1" xfId="3" applyFont="1" applyFill="1" applyBorder="1" applyAlignment="1">
      <alignment horizontal="left" vertical="center" wrapText="1"/>
    </xf>
    <xf numFmtId="166" fontId="16" fillId="0" borderId="1" xfId="1" applyNumberFormat="1" applyFont="1" applyFill="1" applyBorder="1" applyAlignment="1">
      <alignment horizontal="center" vertical="center"/>
    </xf>
    <xf numFmtId="169" fontId="26" fillId="0" borderId="1" xfId="0" applyNumberFormat="1" applyFont="1" applyFill="1" applyBorder="1" applyAlignment="1">
      <alignment horizontal="center" vertical="top" wrapText="1"/>
    </xf>
    <xf numFmtId="0" fontId="16" fillId="0" borderId="1" xfId="3" applyFont="1" applyFill="1" applyBorder="1" applyAlignment="1">
      <alignment horizontal="center" vertical="center"/>
    </xf>
    <xf numFmtId="166" fontId="32" fillId="0" borderId="0" xfId="1" applyNumberFormat="1" applyFont="1" applyFill="1" applyAlignment="1">
      <alignment horizontal="right"/>
    </xf>
    <xf numFmtId="0" fontId="32" fillId="0" borderId="0" xfId="3" applyFont="1" applyFill="1" applyAlignment="1">
      <alignment horizontal="center" vertical="center"/>
    </xf>
    <xf numFmtId="0" fontId="32" fillId="0" borderId="0" xfId="3" applyFont="1" applyFill="1" applyAlignment="1">
      <alignment horizontal="center"/>
    </xf>
    <xf numFmtId="0" fontId="32" fillId="0" borderId="0" xfId="3" applyFont="1" applyFill="1" applyAlignment="1">
      <alignment horizontal="left" vertical="center"/>
    </xf>
    <xf numFmtId="168" fontId="9" fillId="0" borderId="0" xfId="3" applyNumberFormat="1" applyFont="1" applyFill="1"/>
    <xf numFmtId="0" fontId="32" fillId="0" borderId="0" xfId="3" applyFont="1" applyFill="1" applyAlignment="1">
      <alignment wrapText="1"/>
    </xf>
    <xf numFmtId="0" fontId="9" fillId="0" borderId="0" xfId="3" applyFont="1" applyFill="1" applyAlignment="1">
      <alignment horizontal="right"/>
    </xf>
    <xf numFmtId="171" fontId="33" fillId="0" borderId="0" xfId="3" applyNumberFormat="1" applyFont="1" applyFill="1" applyBorder="1" applyAlignment="1">
      <alignment horizontal="center"/>
    </xf>
    <xf numFmtId="171" fontId="33" fillId="0" borderId="0" xfId="3" applyNumberFormat="1" applyFont="1" applyFill="1" applyBorder="1" applyAlignment="1">
      <alignment horizontal="left"/>
    </xf>
    <xf numFmtId="49" fontId="34" fillId="0" borderId="0" xfId="3" applyNumberFormat="1" applyFont="1" applyFill="1" applyAlignment="1">
      <alignment horizontal="right" vertical="center" wrapText="1"/>
    </xf>
    <xf numFmtId="168" fontId="33" fillId="0" borderId="0" xfId="1" applyNumberFormat="1" applyFont="1" applyFill="1" applyAlignment="1">
      <alignment horizontal="right"/>
    </xf>
    <xf numFmtId="167" fontId="33" fillId="0" borderId="0" xfId="1" applyNumberFormat="1" applyFont="1" applyFill="1"/>
    <xf numFmtId="167" fontId="33" fillId="0" borderId="0" xfId="1" applyNumberFormat="1" applyFont="1" applyFill="1" applyAlignment="1">
      <alignment horizontal="left"/>
    </xf>
    <xf numFmtId="166" fontId="35" fillId="0" borderId="0" xfId="1" applyNumberFormat="1" applyFont="1" applyFill="1" applyAlignment="1">
      <alignment horizontal="right"/>
    </xf>
    <xf numFmtId="0" fontId="35" fillId="0" borderId="0" xfId="3" applyFont="1" applyFill="1" applyAlignment="1">
      <alignment horizontal="center" vertical="center"/>
    </xf>
    <xf numFmtId="49" fontId="35" fillId="0" borderId="0" xfId="3" applyNumberFormat="1" applyFont="1" applyFill="1" applyAlignment="1">
      <alignment horizontal="right" vertical="center"/>
    </xf>
    <xf numFmtId="0" fontId="35" fillId="0" borderId="0" xfId="3" applyFont="1" applyFill="1" applyAlignment="1">
      <alignment horizontal="center"/>
    </xf>
    <xf numFmtId="0" fontId="35" fillId="0" borderId="0" xfId="3" applyFont="1" applyFill="1" applyAlignment="1">
      <alignment horizontal="left" vertical="center"/>
    </xf>
    <xf numFmtId="0" fontId="36" fillId="0" borderId="0" xfId="7" applyFont="1" applyFill="1" applyBorder="1" applyAlignment="1">
      <alignment horizontal="right"/>
    </xf>
    <xf numFmtId="167" fontId="33" fillId="0" borderId="0" xfId="1" applyNumberFormat="1" applyFont="1" applyFill="1" applyAlignment="1">
      <alignment horizontal="right"/>
    </xf>
    <xf numFmtId="167" fontId="33" fillId="0" borderId="0" xfId="1" applyNumberFormat="1" applyFont="1" applyFill="1" applyAlignment="1">
      <alignment horizontal="center" vertical="center"/>
    </xf>
    <xf numFmtId="0" fontId="32" fillId="0" borderId="0" xfId="8" applyFont="1" applyFill="1" applyAlignment="1">
      <alignment horizontal="right"/>
    </xf>
    <xf numFmtId="0" fontId="32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vertical="center"/>
    </xf>
    <xf numFmtId="0" fontId="37" fillId="0" borderId="0" xfId="0" applyFont="1" applyFill="1" applyAlignment="1">
      <alignment horizontal="right" vertical="center"/>
    </xf>
    <xf numFmtId="0" fontId="32" fillId="0" borderId="0" xfId="0" applyFont="1" applyFill="1" applyAlignment="1">
      <alignment vertical="center"/>
    </xf>
    <xf numFmtId="0" fontId="36" fillId="0" borderId="0" xfId="7" applyFont="1" applyFill="1" applyAlignment="1">
      <alignment horizontal="right"/>
    </xf>
    <xf numFmtId="0" fontId="32" fillId="0" borderId="0" xfId="3" applyFont="1" applyFill="1" applyAlignment="1">
      <alignment horizontal="right" vertical="center"/>
    </xf>
    <xf numFmtId="0" fontId="36" fillId="0" borderId="0" xfId="7" applyFont="1" applyFill="1" applyAlignment="1"/>
    <xf numFmtId="166" fontId="18" fillId="0" borderId="1" xfId="5" applyNumberFormat="1" applyFont="1" applyFill="1" applyBorder="1" applyAlignment="1">
      <alignment horizontal="left" vertical="center" wrapText="1"/>
    </xf>
    <xf numFmtId="166" fontId="9" fillId="0" borderId="0" xfId="24" applyNumberFormat="1" applyFont="1" applyFill="1" applyAlignment="1">
      <alignment horizontal="right"/>
    </xf>
    <xf numFmtId="168" fontId="40" fillId="0" borderId="4" xfId="5" applyNumberFormat="1" applyFont="1" applyFill="1" applyBorder="1" applyAlignment="1">
      <alignment horizontal="right" vertical="center" wrapText="1"/>
    </xf>
    <xf numFmtId="49" fontId="40" fillId="0" borderId="4" xfId="5" applyNumberFormat="1" applyFont="1" applyFill="1" applyBorder="1" applyAlignment="1">
      <alignment horizontal="center" vertical="center" wrapText="1"/>
    </xf>
    <xf numFmtId="166" fontId="40" fillId="0" borderId="4" xfId="5" applyNumberFormat="1" applyFont="1" applyFill="1" applyBorder="1" applyAlignment="1">
      <alignment horizontal="left" vertical="center" wrapText="1" indent="2"/>
    </xf>
    <xf numFmtId="172" fontId="40" fillId="0" borderId="4" xfId="5" applyNumberFormat="1" applyFont="1" applyFill="1" applyBorder="1" applyAlignment="1">
      <alignment horizontal="left" vertical="center" wrapText="1" indent="2"/>
    </xf>
    <xf numFmtId="0" fontId="40" fillId="0" borderId="5" xfId="5" applyFont="1" applyFill="1" applyBorder="1" applyAlignment="1">
      <alignment horizontal="center" vertical="center"/>
    </xf>
    <xf numFmtId="168" fontId="40" fillId="0" borderId="9" xfId="5" applyNumberFormat="1" applyFont="1" applyFill="1" applyBorder="1" applyAlignment="1">
      <alignment horizontal="right" vertical="center" wrapText="1"/>
    </xf>
    <xf numFmtId="168" fontId="40" fillId="0" borderId="1" xfId="5" applyNumberFormat="1" applyFont="1" applyFill="1" applyBorder="1" applyAlignment="1">
      <alignment horizontal="right" vertical="center" wrapText="1"/>
    </xf>
    <xf numFmtId="49" fontId="40" fillId="0" borderId="1" xfId="5" applyNumberFormat="1" applyFont="1" applyFill="1" applyBorder="1" applyAlignment="1">
      <alignment horizontal="center" vertical="center" wrapText="1"/>
    </xf>
    <xf numFmtId="166" fontId="40" fillId="0" borderId="1" xfId="5" applyNumberFormat="1" applyFont="1" applyFill="1" applyBorder="1" applyAlignment="1">
      <alignment horizontal="left" vertical="center" wrapText="1"/>
    </xf>
    <xf numFmtId="0" fontId="40" fillId="0" borderId="8" xfId="5" applyFont="1" applyFill="1" applyBorder="1" applyAlignment="1">
      <alignment horizontal="center" vertical="center"/>
    </xf>
    <xf numFmtId="0" fontId="40" fillId="0" borderId="7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68" fontId="42" fillId="0" borderId="9" xfId="5" applyNumberFormat="1" applyFont="1" applyFill="1" applyBorder="1" applyAlignment="1">
      <alignment horizontal="right" vertical="center" wrapText="1"/>
    </xf>
    <xf numFmtId="168" fontId="42" fillId="0" borderId="1" xfId="5" applyNumberFormat="1" applyFont="1" applyFill="1" applyBorder="1" applyAlignment="1">
      <alignment horizontal="right" vertical="center" wrapText="1"/>
    </xf>
    <xf numFmtId="49" fontId="42" fillId="0" borderId="1" xfId="5" applyNumberFormat="1" applyFont="1" applyFill="1" applyBorder="1" applyAlignment="1">
      <alignment horizontal="center" vertical="center" wrapText="1"/>
    </xf>
    <xf numFmtId="166" fontId="42" fillId="0" borderId="1" xfId="5" applyNumberFormat="1" applyFont="1" applyFill="1" applyBorder="1" applyAlignment="1">
      <alignment horizontal="left" vertical="center" wrapText="1"/>
    </xf>
    <xf numFmtId="0" fontId="43" fillId="0" borderId="7" xfId="3" applyFont="1" applyFill="1" applyBorder="1" applyAlignment="1">
      <alignment horizontal="left" vertical="center" wrapText="1"/>
    </xf>
    <xf numFmtId="0" fontId="42" fillId="0" borderId="8" xfId="5" applyFont="1" applyFill="1" applyBorder="1" applyAlignment="1">
      <alignment horizontal="center" vertical="center"/>
    </xf>
    <xf numFmtId="172" fontId="42" fillId="0" borderId="1" xfId="5" applyNumberFormat="1" applyFont="1" applyFill="1" applyBorder="1" applyAlignment="1">
      <alignment horizontal="left" vertical="center" wrapText="1"/>
    </xf>
    <xf numFmtId="166" fontId="40" fillId="0" borderId="1" xfId="5" applyNumberFormat="1" applyFont="1" applyFill="1" applyBorder="1" applyAlignment="1">
      <alignment horizontal="left" vertical="center" wrapText="1" indent="2"/>
    </xf>
    <xf numFmtId="172" fontId="40" fillId="0" borderId="1" xfId="5" applyNumberFormat="1" applyFont="1" applyFill="1" applyBorder="1" applyAlignment="1">
      <alignment horizontal="left" vertical="center" wrapText="1" indent="2"/>
    </xf>
    <xf numFmtId="172" fontId="40" fillId="0" borderId="1" xfId="5" applyNumberFormat="1" applyFont="1" applyFill="1" applyBorder="1" applyAlignment="1">
      <alignment horizontal="left" vertical="center" wrapText="1"/>
    </xf>
    <xf numFmtId="168" fontId="42" fillId="0" borderId="20" xfId="5" applyNumberFormat="1" applyFont="1" applyFill="1" applyBorder="1" applyAlignment="1">
      <alignment horizontal="right" vertical="center" wrapText="1"/>
    </xf>
    <xf numFmtId="168" fontId="42" fillId="0" borderId="2" xfId="5" applyNumberFormat="1" applyFont="1" applyFill="1" applyBorder="1" applyAlignment="1">
      <alignment horizontal="right" vertical="center" wrapText="1"/>
    </xf>
    <xf numFmtId="49" fontId="42" fillId="0" borderId="2" xfId="5" applyNumberFormat="1" applyFont="1" applyFill="1" applyBorder="1" applyAlignment="1">
      <alignment horizontal="center" vertical="center" wrapText="1"/>
    </xf>
    <xf numFmtId="166" fontId="42" fillId="0" borderId="2" xfId="5" applyNumberFormat="1" applyFont="1" applyFill="1" applyBorder="1" applyAlignment="1">
      <alignment horizontal="left" vertical="center" wrapText="1"/>
    </xf>
    <xf numFmtId="172" fontId="42" fillId="0" borderId="2" xfId="5" applyNumberFormat="1" applyFont="1" applyFill="1" applyBorder="1" applyAlignment="1">
      <alignment horizontal="left" vertical="center" wrapText="1"/>
    </xf>
    <xf numFmtId="0" fontId="40" fillId="0" borderId="21" xfId="5" applyFont="1" applyFill="1" applyBorder="1" applyAlignment="1">
      <alignment horizontal="center" vertical="center"/>
    </xf>
    <xf numFmtId="168" fontId="42" fillId="0" borderId="31" xfId="5" applyNumberFormat="1" applyFont="1" applyFill="1" applyBorder="1" applyAlignment="1">
      <alignment horizontal="right" vertical="center" wrapText="1"/>
    </xf>
    <xf numFmtId="168" fontId="42" fillId="0" borderId="32" xfId="5" applyNumberFormat="1" applyFont="1" applyFill="1" applyBorder="1" applyAlignment="1">
      <alignment horizontal="right" vertical="center" wrapText="1"/>
    </xf>
    <xf numFmtId="168" fontId="40" fillId="0" borderId="32" xfId="5" applyNumberFormat="1" applyFont="1" applyFill="1" applyBorder="1" applyAlignment="1">
      <alignment horizontal="right" vertical="center" wrapText="1"/>
    </xf>
    <xf numFmtId="49" fontId="40" fillId="0" borderId="32" xfId="5" applyNumberFormat="1" applyFont="1" applyFill="1" applyBorder="1" applyAlignment="1">
      <alignment horizontal="center" vertical="center" wrapText="1"/>
    </xf>
    <xf numFmtId="49" fontId="42" fillId="0" borderId="32" xfId="5" applyNumberFormat="1" applyFont="1" applyFill="1" applyBorder="1" applyAlignment="1">
      <alignment horizontal="center" vertical="center" wrapText="1"/>
    </xf>
    <xf numFmtId="0" fontId="42" fillId="0" borderId="32" xfId="8" applyFont="1" applyFill="1" applyBorder="1" applyAlignment="1">
      <alignment horizontal="left" vertical="center" wrapText="1"/>
    </xf>
    <xf numFmtId="0" fontId="42" fillId="0" borderId="33" xfId="5" applyFont="1" applyFill="1" applyBorder="1" applyAlignment="1">
      <alignment horizontal="center" vertical="center"/>
    </xf>
    <xf numFmtId="168" fontId="40" fillId="0" borderId="34" xfId="5" applyNumberFormat="1" applyFont="1" applyFill="1" applyBorder="1" applyAlignment="1">
      <alignment horizontal="right" vertical="center" wrapText="1"/>
    </xf>
    <xf numFmtId="168" fontId="40" fillId="0" borderId="23" xfId="5" applyNumberFormat="1" applyFont="1" applyFill="1" applyBorder="1" applyAlignment="1">
      <alignment horizontal="right" vertical="center" wrapText="1"/>
    </xf>
    <xf numFmtId="49" fontId="40" fillId="0" borderId="23" xfId="5" applyNumberFormat="1" applyFont="1" applyFill="1" applyBorder="1" applyAlignment="1">
      <alignment horizontal="center" vertical="center" wrapText="1"/>
    </xf>
    <xf numFmtId="166" fontId="40" fillId="0" borderId="23" xfId="5" applyNumberFormat="1" applyFont="1" applyFill="1" applyBorder="1" applyAlignment="1">
      <alignment horizontal="left" vertical="center" wrapText="1" indent="2"/>
    </xf>
    <xf numFmtId="172" fontId="40" fillId="0" borderId="23" xfId="5" applyNumberFormat="1" applyFont="1" applyFill="1" applyBorder="1" applyAlignment="1">
      <alignment horizontal="left" vertical="center" wrapText="1" indent="2"/>
    </xf>
    <xf numFmtId="0" fontId="40" fillId="0" borderId="24" xfId="5" applyFont="1" applyFill="1" applyBorder="1" applyAlignment="1">
      <alignment vertical="center"/>
    </xf>
    <xf numFmtId="0" fontId="40" fillId="0" borderId="8" xfId="5" applyFont="1" applyFill="1" applyBorder="1" applyAlignment="1">
      <alignment vertical="center"/>
    </xf>
    <xf numFmtId="0" fontId="40" fillId="0" borderId="1" xfId="9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173" fontId="40" fillId="0" borderId="1" xfId="5" applyNumberFormat="1" applyFont="1" applyFill="1" applyBorder="1" applyAlignment="1">
      <alignment horizontal="left" vertical="center" wrapText="1" indent="2"/>
    </xf>
    <xf numFmtId="0" fontId="40" fillId="0" borderId="1" xfId="9" applyFont="1" applyFill="1" applyBorder="1" applyAlignment="1">
      <alignment horizontal="justify" vertical="top" wrapText="1"/>
    </xf>
    <xf numFmtId="0" fontId="40" fillId="0" borderId="7" xfId="3" applyFont="1" applyFill="1" applyBorder="1" applyAlignment="1">
      <alignment horizontal="left" vertical="center" wrapText="1"/>
    </xf>
    <xf numFmtId="49" fontId="40" fillId="0" borderId="1" xfId="14" applyNumberFormat="1" applyFont="1" applyFill="1" applyBorder="1" applyAlignment="1">
      <alignment horizontal="center" vertical="center" wrapText="1"/>
    </xf>
    <xf numFmtId="49" fontId="40" fillId="0" borderId="1" xfId="5" applyNumberFormat="1" applyFont="1" applyFill="1" applyBorder="1" applyAlignment="1">
      <alignment horizontal="left" vertical="center" wrapText="1"/>
    </xf>
    <xf numFmtId="168" fontId="41" fillId="0" borderId="9" xfId="14" applyNumberFormat="1" applyFont="1" applyFill="1" applyBorder="1" applyAlignment="1">
      <alignment horizontal="right" vertical="center"/>
    </xf>
    <xf numFmtId="168" fontId="41" fillId="0" borderId="1" xfId="14" applyNumberFormat="1" applyFont="1" applyFill="1" applyBorder="1" applyAlignment="1">
      <alignment horizontal="right" vertical="center"/>
    </xf>
    <xf numFmtId="49" fontId="40" fillId="0" borderId="1" xfId="12" applyNumberFormat="1" applyFont="1" applyFill="1" applyBorder="1" applyAlignment="1" applyProtection="1">
      <alignment horizontal="center" vertical="center" wrapText="1"/>
    </xf>
    <xf numFmtId="49" fontId="42" fillId="0" borderId="1" xfId="12" applyNumberFormat="1" applyFont="1" applyFill="1" applyBorder="1" applyAlignment="1" applyProtection="1">
      <alignment horizontal="center" vertical="center" wrapText="1"/>
    </xf>
    <xf numFmtId="172" fontId="40" fillId="0" borderId="1" xfId="12" applyNumberFormat="1" applyFont="1" applyFill="1" applyBorder="1" applyAlignment="1" applyProtection="1">
      <alignment horizontal="left" vertical="center" wrapText="1"/>
    </xf>
    <xf numFmtId="0" fontId="41" fillId="0" borderId="8" xfId="14" applyFont="1" applyFill="1" applyBorder="1" applyAlignment="1">
      <alignment horizontal="center" vertical="center"/>
    </xf>
    <xf numFmtId="172" fontId="40" fillId="0" borderId="1" xfId="9" applyNumberFormat="1" applyFont="1" applyFill="1" applyBorder="1" applyAlignment="1">
      <alignment vertical="center" wrapText="1"/>
    </xf>
    <xf numFmtId="166" fontId="40" fillId="0" borderId="8" xfId="5" applyNumberFormat="1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center" vertical="center" wrapText="1"/>
    </xf>
    <xf numFmtId="166" fontId="40" fillId="0" borderId="8" xfId="5" applyNumberFormat="1" applyFont="1" applyFill="1" applyBorder="1" applyAlignment="1">
      <alignment vertical="center" wrapText="1"/>
    </xf>
    <xf numFmtId="0" fontId="42" fillId="0" borderId="7" xfId="3" applyFont="1" applyFill="1" applyBorder="1" applyAlignment="1">
      <alignment vertical="top" wrapText="1"/>
    </xf>
    <xf numFmtId="168" fontId="43" fillId="0" borderId="9" xfId="14" applyNumberFormat="1" applyFont="1" applyFill="1" applyBorder="1" applyAlignment="1">
      <alignment horizontal="right" vertical="center"/>
    </xf>
    <xf numFmtId="168" fontId="43" fillId="0" borderId="1" xfId="14" applyNumberFormat="1" applyFont="1" applyFill="1" applyBorder="1" applyAlignment="1">
      <alignment horizontal="right" vertical="center"/>
    </xf>
    <xf numFmtId="172" fontId="42" fillId="0" borderId="1" xfId="12" applyNumberFormat="1" applyFont="1" applyFill="1" applyBorder="1" applyAlignment="1" applyProtection="1">
      <alignment horizontal="left" vertical="center" wrapText="1"/>
    </xf>
    <xf numFmtId="0" fontId="41" fillId="0" borderId="8" xfId="14" applyFont="1" applyFill="1" applyBorder="1" applyAlignment="1">
      <alignment vertical="center"/>
    </xf>
    <xf numFmtId="0" fontId="12" fillId="0" borderId="7" xfId="9" applyFont="1" applyFill="1" applyBorder="1" applyAlignment="1">
      <alignment vertical="top" wrapText="1"/>
    </xf>
    <xf numFmtId="0" fontId="40" fillId="0" borderId="7" xfId="10" applyFont="1" applyFill="1" applyBorder="1" applyAlignment="1">
      <alignment horizontal="left" vertical="center" wrapText="1"/>
    </xf>
    <xf numFmtId="49" fontId="42" fillId="0" borderId="1" xfId="14" applyNumberFormat="1" applyFont="1" applyFill="1" applyBorder="1" applyAlignment="1">
      <alignment horizontal="center" vertical="center" wrapText="1"/>
    </xf>
    <xf numFmtId="0" fontId="41" fillId="0" borderId="18" xfId="3" applyFont="1" applyFill="1" applyBorder="1" applyAlignment="1">
      <alignment vertical="top" wrapText="1"/>
    </xf>
    <xf numFmtId="0" fontId="42" fillId="0" borderId="8" xfId="5" applyFont="1" applyFill="1" applyBorder="1" applyAlignment="1">
      <alignment vertical="center"/>
    </xf>
    <xf numFmtId="166" fontId="42" fillId="0" borderId="1" xfId="12" applyNumberFormat="1" applyFont="1" applyFill="1" applyBorder="1" applyAlignment="1" applyProtection="1">
      <alignment horizontal="left" vertical="center" wrapText="1"/>
    </xf>
    <xf numFmtId="0" fontId="40" fillId="0" borderId="1" xfId="9" applyFont="1" applyFill="1" applyBorder="1" applyAlignment="1">
      <alignment horizontal="left" vertical="top" wrapText="1"/>
    </xf>
    <xf numFmtId="172" fontId="42" fillId="0" borderId="1" xfId="9" applyNumberFormat="1" applyFont="1" applyFill="1" applyBorder="1" applyAlignment="1">
      <alignment vertical="center" wrapText="1"/>
    </xf>
    <xf numFmtId="0" fontId="12" fillId="0" borderId="7" xfId="9" applyFont="1" applyFill="1" applyBorder="1" applyAlignment="1">
      <alignment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14" applyNumberFormat="1" applyFont="1" applyFill="1" applyBorder="1" applyAlignment="1">
      <alignment vertical="center" wrapText="1"/>
    </xf>
    <xf numFmtId="49" fontId="42" fillId="0" borderId="1" xfId="14" applyNumberFormat="1" applyFont="1" applyFill="1" applyBorder="1" applyAlignment="1">
      <alignment vertical="center" wrapText="1"/>
    </xf>
    <xf numFmtId="166" fontId="40" fillId="0" borderId="1" xfId="11" applyNumberFormat="1" applyFont="1" applyFill="1" applyBorder="1" applyAlignment="1" applyProtection="1">
      <alignment horizontal="left" vertical="center" wrapText="1"/>
    </xf>
    <xf numFmtId="166" fontId="40" fillId="0" borderId="1" xfId="14" applyNumberFormat="1" applyFont="1" applyFill="1" applyBorder="1" applyAlignment="1">
      <alignment vertical="center" wrapText="1"/>
    </xf>
    <xf numFmtId="172" fontId="40" fillId="0" borderId="1" xfId="11" applyNumberFormat="1" applyFont="1" applyFill="1" applyBorder="1" applyAlignment="1" applyProtection="1">
      <alignment horizontal="left" vertical="center" wrapText="1"/>
    </xf>
    <xf numFmtId="0" fontId="46" fillId="0" borderId="7" xfId="3" applyFont="1" applyFill="1" applyBorder="1" applyAlignment="1">
      <alignment horizontal="left" vertical="center" wrapText="1"/>
    </xf>
    <xf numFmtId="172" fontId="42" fillId="0" borderId="1" xfId="5" applyNumberFormat="1" applyFont="1" applyFill="1" applyBorder="1" applyAlignment="1">
      <alignment horizontal="left" vertical="top" wrapText="1"/>
    </xf>
    <xf numFmtId="0" fontId="40" fillId="0" borderId="2" xfId="10" applyNumberFormat="1" applyFont="1" applyFill="1" applyBorder="1" applyAlignment="1" applyProtection="1">
      <alignment horizontal="left" vertical="center" wrapText="1"/>
    </xf>
    <xf numFmtId="0" fontId="40" fillId="0" borderId="7" xfId="9" applyFont="1" applyFill="1" applyBorder="1" applyAlignment="1">
      <alignment wrapText="1"/>
    </xf>
    <xf numFmtId="0" fontId="20" fillId="0" borderId="7" xfId="9" applyFont="1" applyFill="1" applyBorder="1" applyAlignment="1">
      <alignment horizontal="left" vertical="center" wrapText="1"/>
    </xf>
    <xf numFmtId="0" fontId="13" fillId="0" borderId="7" xfId="9" applyFont="1" applyFill="1" applyBorder="1" applyAlignment="1">
      <alignment horizontal="left" vertical="center" wrapText="1"/>
    </xf>
    <xf numFmtId="49" fontId="41" fillId="0" borderId="1" xfId="3" applyNumberFormat="1" applyFont="1" applyFill="1" applyBorder="1" applyAlignment="1">
      <alignment horizontal="center" vertical="center" wrapText="1"/>
    </xf>
    <xf numFmtId="169" fontId="40" fillId="0" borderId="1" xfId="10" applyNumberFormat="1" applyFont="1" applyFill="1" applyBorder="1" applyAlignment="1" applyProtection="1">
      <alignment horizontal="left" vertical="center" wrapText="1"/>
    </xf>
    <xf numFmtId="0" fontId="40" fillId="0" borderId="1" xfId="9" applyNumberFormat="1" applyFont="1" applyFill="1" applyBorder="1" applyAlignment="1" applyProtection="1">
      <alignment horizontal="left" vertical="center" wrapText="1"/>
    </xf>
    <xf numFmtId="168" fontId="40" fillId="0" borderId="9" xfId="5" applyNumberFormat="1" applyFont="1" applyFill="1" applyBorder="1" applyAlignment="1">
      <alignment horizontal="right" vertical="center"/>
    </xf>
    <xf numFmtId="168" fontId="40" fillId="0" borderId="1" xfId="5" applyNumberFormat="1" applyFont="1" applyFill="1" applyBorder="1" applyAlignment="1">
      <alignment horizontal="right" vertical="center"/>
    </xf>
    <xf numFmtId="168" fontId="42" fillId="0" borderId="9" xfId="5" applyNumberFormat="1" applyFont="1" applyFill="1" applyBorder="1" applyAlignment="1">
      <alignment horizontal="right" vertical="center"/>
    </xf>
    <xf numFmtId="168" fontId="42" fillId="0" borderId="1" xfId="5" applyNumberFormat="1" applyFont="1" applyFill="1" applyBorder="1" applyAlignment="1">
      <alignment horizontal="right" vertical="center"/>
    </xf>
    <xf numFmtId="166" fontId="42" fillId="0" borderId="1" xfId="11" applyNumberFormat="1" applyFont="1" applyFill="1" applyBorder="1" applyAlignment="1" applyProtection="1">
      <alignment horizontal="left" vertical="center" wrapText="1"/>
    </xf>
    <xf numFmtId="172" fontId="42" fillId="0" borderId="32" xfId="5" applyNumberFormat="1" applyFont="1" applyFill="1" applyBorder="1" applyAlignment="1">
      <alignment horizontal="left" vertical="center" wrapText="1"/>
    </xf>
    <xf numFmtId="168" fontId="40" fillId="0" borderId="34" xfId="5" applyNumberFormat="1" applyFont="1" applyFill="1" applyBorder="1" applyAlignment="1">
      <alignment horizontal="right" vertical="center"/>
    </xf>
    <xf numFmtId="168" fontId="40" fillId="0" borderId="23" xfId="5" applyNumberFormat="1" applyFont="1" applyFill="1" applyBorder="1" applyAlignment="1">
      <alignment horizontal="right" vertical="center"/>
    </xf>
    <xf numFmtId="0" fontId="42" fillId="0" borderId="24" xfId="5" applyFont="1" applyFill="1" applyBorder="1" applyAlignment="1">
      <alignment horizontal="center" vertical="center"/>
    </xf>
    <xf numFmtId="0" fontId="42" fillId="0" borderId="21" xfId="5" applyFont="1" applyFill="1" applyBorder="1" applyAlignment="1">
      <alignment horizontal="center" vertical="center"/>
    </xf>
    <xf numFmtId="168" fontId="14" fillId="0" borderId="34" xfId="5" applyNumberFormat="1" applyFont="1" applyFill="1" applyBorder="1" applyAlignment="1">
      <alignment horizontal="right" vertical="center" wrapText="1"/>
    </xf>
    <xf numFmtId="168" fontId="14" fillId="0" borderId="23" xfId="5" applyNumberFormat="1" applyFont="1" applyFill="1" applyBorder="1" applyAlignment="1">
      <alignment horizontal="right" vertical="center" wrapText="1"/>
    </xf>
    <xf numFmtId="49" fontId="14" fillId="0" borderId="23" xfId="5" applyNumberFormat="1" applyFont="1" applyFill="1" applyBorder="1" applyAlignment="1">
      <alignment horizontal="center" vertical="center" wrapText="1"/>
    </xf>
    <xf numFmtId="166" fontId="14" fillId="0" borderId="23" xfId="5" applyNumberFormat="1" applyFont="1" applyFill="1" applyBorder="1" applyAlignment="1">
      <alignment horizontal="left" vertical="center" wrapText="1"/>
    </xf>
    <xf numFmtId="172" fontId="14" fillId="0" borderId="23" xfId="5" applyNumberFormat="1" applyFont="1" applyFill="1" applyBorder="1" applyAlignment="1">
      <alignment horizontal="left" vertical="center" wrapText="1"/>
    </xf>
    <xf numFmtId="0" fontId="9" fillId="0" borderId="24" xfId="5" applyFont="1" applyFill="1" applyBorder="1" applyAlignment="1">
      <alignment horizontal="center" vertical="center"/>
    </xf>
    <xf numFmtId="168" fontId="42" fillId="0" borderId="25" xfId="5" applyNumberFormat="1" applyFont="1" applyFill="1" applyBorder="1" applyAlignment="1">
      <alignment horizontal="center" vertical="center" wrapText="1"/>
    </xf>
    <xf numFmtId="168" fontId="42" fillId="0" borderId="26" xfId="5" applyNumberFormat="1" applyFont="1" applyFill="1" applyBorder="1" applyAlignment="1">
      <alignment horizontal="center" vertical="center" wrapText="1"/>
    </xf>
    <xf numFmtId="49" fontId="42" fillId="0" borderId="26" xfId="5" applyNumberFormat="1" applyFont="1" applyFill="1" applyBorder="1" applyAlignment="1">
      <alignment horizontal="center" vertical="center" wrapText="1"/>
    </xf>
    <xf numFmtId="166" fontId="42" fillId="0" borderId="26" xfId="5" applyNumberFormat="1" applyFont="1" applyFill="1" applyBorder="1" applyAlignment="1">
      <alignment horizontal="center" vertical="center" wrapText="1"/>
    </xf>
    <xf numFmtId="172" fontId="42" fillId="0" borderId="26" xfId="5" applyNumberFormat="1" applyFont="1" applyFill="1" applyBorder="1" applyAlignment="1">
      <alignment horizontal="center" vertical="center" wrapText="1"/>
    </xf>
    <xf numFmtId="0" fontId="42" fillId="0" borderId="29" xfId="5" applyFont="1" applyFill="1" applyBorder="1" applyAlignment="1">
      <alignment horizontal="center" vertical="center" wrapText="1"/>
    </xf>
    <xf numFmtId="166" fontId="32" fillId="0" borderId="0" xfId="24" applyNumberFormat="1" applyFont="1" applyFill="1" applyAlignment="1">
      <alignment horizontal="right"/>
    </xf>
    <xf numFmtId="0" fontId="32" fillId="0" borderId="0" xfId="3" applyFont="1" applyFill="1"/>
    <xf numFmtId="167" fontId="9" fillId="0" borderId="0" xfId="3" applyNumberFormat="1" applyFont="1" applyFill="1"/>
    <xf numFmtId="167" fontId="33" fillId="0" borderId="0" xfId="24" applyNumberFormat="1" applyFont="1" applyFill="1"/>
    <xf numFmtId="167" fontId="33" fillId="0" borderId="0" xfId="24" applyNumberFormat="1" applyFont="1" applyFill="1" applyAlignment="1">
      <alignment horizontal="left"/>
    </xf>
    <xf numFmtId="166" fontId="35" fillId="0" borderId="0" xfId="24" applyNumberFormat="1" applyFont="1" applyFill="1" applyAlignment="1">
      <alignment horizontal="right"/>
    </xf>
    <xf numFmtId="168" fontId="33" fillId="0" borderId="0" xfId="24" applyNumberFormat="1" applyFont="1" applyFill="1" applyAlignment="1">
      <alignment horizontal="right"/>
    </xf>
    <xf numFmtId="167" fontId="33" fillId="0" borderId="0" xfId="24" applyNumberFormat="1" applyFont="1" applyFill="1" applyAlignment="1">
      <alignment horizontal="center" vertical="center"/>
    </xf>
    <xf numFmtId="167" fontId="33" fillId="0" borderId="0" xfId="24" applyNumberFormat="1" applyFont="1" applyFill="1" applyAlignment="1">
      <alignment horizontal="right"/>
    </xf>
    <xf numFmtId="0" fontId="32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166" fontId="16" fillId="0" borderId="0" xfId="24" applyNumberFormat="1" applyFont="1" applyFill="1" applyBorder="1" applyAlignment="1">
      <alignment horizontal="center" vertical="center"/>
    </xf>
    <xf numFmtId="0" fontId="48" fillId="0" borderId="0" xfId="9" applyFont="1" applyFill="1" applyAlignment="1">
      <alignment vertical="center"/>
    </xf>
    <xf numFmtId="0" fontId="36" fillId="0" borderId="0" xfId="7" applyFont="1" applyFill="1" applyAlignment="1">
      <alignment horizontal="right" vertical="center"/>
    </xf>
    <xf numFmtId="0" fontId="37" fillId="0" borderId="0" xfId="9" applyFont="1" applyFill="1" applyAlignment="1">
      <alignment vertical="center"/>
    </xf>
    <xf numFmtId="0" fontId="36" fillId="0" borderId="0" xfId="7" applyFont="1" applyFill="1" applyAlignment="1">
      <alignment horizontal="right"/>
    </xf>
    <xf numFmtId="167" fontId="14" fillId="0" borderId="0" xfId="24" applyNumberFormat="1" applyFont="1" applyFill="1" applyAlignment="1">
      <alignment horizontal="right"/>
    </xf>
    <xf numFmtId="167" fontId="14" fillId="0" borderId="0" xfId="24" applyNumberFormat="1" applyFont="1" applyFill="1" applyAlignment="1">
      <alignment horizontal="center" vertical="center"/>
    </xf>
    <xf numFmtId="49" fontId="9" fillId="0" borderId="0" xfId="3" applyNumberFormat="1" applyFont="1" applyFill="1" applyAlignment="1">
      <alignment horizontal="right" vertical="center"/>
    </xf>
    <xf numFmtId="168" fontId="14" fillId="0" borderId="0" xfId="24" applyNumberFormat="1" applyFont="1" applyFill="1" applyAlignment="1">
      <alignment horizontal="right"/>
    </xf>
    <xf numFmtId="167" fontId="14" fillId="0" borderId="0" xfId="24" applyNumberFormat="1" applyFont="1" applyFill="1"/>
    <xf numFmtId="171" fontId="14" fillId="0" borderId="0" xfId="3" applyNumberFormat="1" applyFont="1" applyFill="1" applyBorder="1" applyAlignment="1">
      <alignment horizontal="center"/>
    </xf>
    <xf numFmtId="166" fontId="40" fillId="0" borderId="0" xfId="24" applyNumberFormat="1" applyFont="1" applyFill="1" applyAlignment="1">
      <alignment horizontal="right"/>
    </xf>
    <xf numFmtId="49" fontId="40" fillId="0" borderId="1" xfId="3" applyNumberFormat="1" applyFont="1" applyFill="1" applyBorder="1" applyAlignment="1">
      <alignment horizontal="center" vertical="center" wrapText="1"/>
    </xf>
    <xf numFmtId="0" fontId="12" fillId="0" borderId="7" xfId="9" applyNumberFormat="1" applyFont="1" applyFill="1" applyBorder="1" applyAlignment="1">
      <alignment horizontal="left" vertical="center" wrapText="1"/>
    </xf>
    <xf numFmtId="0" fontId="49" fillId="0" borderId="7" xfId="3" applyFont="1" applyFill="1" applyBorder="1" applyAlignment="1">
      <alignment horizontal="left" vertical="center" wrapText="1"/>
    </xf>
    <xf numFmtId="168" fontId="42" fillId="0" borderId="1" xfId="14" applyNumberFormat="1" applyFont="1" applyFill="1" applyBorder="1" applyAlignment="1">
      <alignment horizontal="right" vertical="center"/>
    </xf>
    <xf numFmtId="0" fontId="40" fillId="0" borderId="8" xfId="14" applyFont="1" applyFill="1" applyBorder="1" applyAlignment="1">
      <alignment horizontal="center" vertical="center"/>
    </xf>
    <xf numFmtId="0" fontId="40" fillId="0" borderId="8" xfId="14" applyFont="1" applyFill="1" applyBorder="1" applyAlignment="1">
      <alignment vertical="center"/>
    </xf>
    <xf numFmtId="0" fontId="40" fillId="0" borderId="18" xfId="3" applyFont="1" applyFill="1" applyBorder="1" applyAlignment="1">
      <alignment vertical="top" wrapText="1"/>
    </xf>
    <xf numFmtId="168" fontId="40" fillId="0" borderId="14" xfId="5" applyNumberFormat="1" applyFont="1" applyFill="1" applyBorder="1" applyAlignment="1">
      <alignment horizontal="right" vertical="center" wrapText="1"/>
    </xf>
    <xf numFmtId="0" fontId="40" fillId="0" borderId="7" xfId="3" applyFont="1" applyFill="1" applyBorder="1" applyAlignment="1">
      <alignment horizontal="center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3" xfId="5" applyNumberFormat="1" applyFont="1" applyFill="1" applyBorder="1" applyAlignment="1">
      <alignment horizontal="right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49" fontId="51" fillId="0" borderId="1" xfId="5" applyNumberFormat="1" applyFont="1" applyFill="1" applyBorder="1" applyAlignment="1">
      <alignment horizontal="center" vertical="center" wrapText="1"/>
    </xf>
    <xf numFmtId="168" fontId="36" fillId="0" borderId="0" xfId="7" applyNumberFormat="1" applyFont="1" applyFill="1" applyAlignment="1">
      <alignment horizontal="right"/>
    </xf>
    <xf numFmtId="168" fontId="32" fillId="0" borderId="0" xfId="3" applyNumberFormat="1" applyFont="1" applyFill="1" applyAlignment="1">
      <alignment horizontal="right" vertical="center"/>
    </xf>
    <xf numFmtId="168" fontId="9" fillId="0" borderId="0" xfId="3" applyNumberFormat="1" applyFont="1" applyFill="1" applyAlignment="1">
      <alignment horizontal="right" vertical="center"/>
    </xf>
    <xf numFmtId="168" fontId="9" fillId="0" borderId="0" xfId="3" applyNumberFormat="1" applyFont="1" applyFill="1" applyAlignment="1">
      <alignment horizontal="center" vertical="center"/>
    </xf>
    <xf numFmtId="168" fontId="32" fillId="0" borderId="0" xfId="0" applyNumberFormat="1" applyFont="1" applyFill="1" applyAlignment="1">
      <alignment horizontal="right" vertical="center"/>
    </xf>
    <xf numFmtId="168" fontId="32" fillId="0" borderId="0" xfId="8" applyNumberFormat="1" applyFont="1" applyFill="1" applyAlignment="1">
      <alignment horizontal="right"/>
    </xf>
    <xf numFmtId="168" fontId="16" fillId="0" borderId="1" xfId="1" applyNumberFormat="1" applyFont="1" applyFill="1" applyBorder="1" applyAlignment="1">
      <alignment horizontal="center" vertical="center"/>
    </xf>
    <xf numFmtId="168" fontId="22" fillId="0" borderId="1" xfId="1" applyNumberFormat="1" applyFont="1" applyFill="1" applyBorder="1" applyAlignment="1">
      <alignment horizontal="right" vertical="center" wrapText="1"/>
    </xf>
    <xf numFmtId="168" fontId="28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1" fillId="0" borderId="7" xfId="1" applyNumberFormat="1" applyFont="1" applyFill="1" applyBorder="1" applyAlignment="1">
      <alignment horizontal="right" vertical="center" wrapText="1"/>
    </xf>
    <xf numFmtId="168" fontId="30" fillId="0" borderId="1" xfId="1" applyNumberFormat="1" applyFont="1" applyFill="1" applyBorder="1" applyAlignment="1">
      <alignment horizontal="right" vertical="center" wrapText="1"/>
    </xf>
    <xf numFmtId="168" fontId="11" fillId="0" borderId="15" xfId="1" applyNumberFormat="1" applyFont="1" applyFill="1" applyBorder="1" applyAlignment="1">
      <alignment horizontal="right" vertical="center" wrapText="1"/>
    </xf>
    <xf numFmtId="168" fontId="16" fillId="0" borderId="1" xfId="1" applyNumberFormat="1" applyFont="1" applyFill="1" applyBorder="1" applyAlignment="1">
      <alignment vertical="center" wrapText="1"/>
    </xf>
    <xf numFmtId="168" fontId="11" fillId="0" borderId="1" xfId="1" applyNumberFormat="1" applyFont="1" applyFill="1" applyBorder="1" applyAlignment="1">
      <alignment vertical="center" wrapText="1"/>
    </xf>
    <xf numFmtId="168" fontId="11" fillId="0" borderId="7" xfId="1" applyNumberFormat="1" applyFont="1" applyFill="1" applyBorder="1" applyAlignment="1">
      <alignment vertical="center" wrapText="1"/>
    </xf>
    <xf numFmtId="168" fontId="9" fillId="0" borderId="0" xfId="1" applyNumberFormat="1" applyFont="1" applyFill="1" applyAlignment="1">
      <alignment horizontal="right"/>
    </xf>
    <xf numFmtId="168" fontId="16" fillId="0" borderId="25" xfId="1" applyNumberFormat="1" applyFont="1" applyFill="1" applyBorder="1" applyAlignment="1">
      <alignment horizontal="center"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6" xfId="1" applyNumberFormat="1" applyFont="1" applyFill="1" applyBorder="1" applyAlignment="1">
      <alignment horizontal="right" vertical="center" wrapText="1"/>
    </xf>
    <xf numFmtId="168" fontId="11" fillId="0" borderId="20" xfId="1" applyNumberFormat="1" applyFont="1" applyFill="1" applyBorder="1" applyAlignment="1">
      <alignment horizontal="right" vertical="center" wrapText="1"/>
    </xf>
    <xf numFmtId="168" fontId="19" fillId="0" borderId="11" xfId="3" applyNumberFormat="1" applyFont="1" applyFill="1" applyBorder="1"/>
    <xf numFmtId="168" fontId="9" fillId="0" borderId="11" xfId="3" applyNumberFormat="1" applyFont="1" applyFill="1" applyBorder="1"/>
    <xf numFmtId="168" fontId="11" fillId="0" borderId="9" xfId="1" applyNumberFormat="1" applyFont="1" applyFill="1" applyBorder="1" applyAlignment="1">
      <alignment vertical="center" wrapText="1"/>
    </xf>
    <xf numFmtId="168" fontId="13" fillId="0" borderId="9" xfId="1" applyNumberFormat="1" applyFont="1" applyFill="1" applyBorder="1" applyAlignment="1">
      <alignment horizontal="right"/>
    </xf>
    <xf numFmtId="168" fontId="12" fillId="0" borderId="9" xfId="1" applyNumberFormat="1" applyFont="1" applyFill="1" applyBorder="1" applyAlignment="1">
      <alignment horizontal="right"/>
    </xf>
    <xf numFmtId="0" fontId="40" fillId="0" borderId="35" xfId="5" applyFont="1" applyFill="1" applyBorder="1" applyAlignment="1">
      <alignment vertical="center"/>
    </xf>
    <xf numFmtId="172" fontId="40" fillId="0" borderId="36" xfId="5" applyNumberFormat="1" applyFont="1" applyFill="1" applyBorder="1" applyAlignment="1">
      <alignment horizontal="left" vertical="center" wrapText="1" indent="2"/>
    </xf>
    <xf numFmtId="166" fontId="40" fillId="0" borderId="36" xfId="5" applyNumberFormat="1" applyFont="1" applyFill="1" applyBorder="1" applyAlignment="1">
      <alignment horizontal="left" vertical="center" wrapText="1" indent="2"/>
    </xf>
    <xf numFmtId="49" fontId="40" fillId="0" borderId="36" xfId="5" applyNumberFormat="1" applyFont="1" applyFill="1" applyBorder="1" applyAlignment="1">
      <alignment horizontal="center" vertical="center" wrapText="1"/>
    </xf>
    <xf numFmtId="168" fontId="40" fillId="0" borderId="36" xfId="5" applyNumberFormat="1" applyFont="1" applyFill="1" applyBorder="1" applyAlignment="1">
      <alignment horizontal="right" vertical="center" wrapText="1"/>
    </xf>
    <xf numFmtId="168" fontId="40" fillId="0" borderId="37" xfId="5" applyNumberFormat="1" applyFont="1" applyFill="1" applyBorder="1" applyAlignment="1">
      <alignment horizontal="right" vertical="center" wrapText="1"/>
    </xf>
    <xf numFmtId="0" fontId="8" fillId="0" borderId="0" xfId="7" applyFill="1" applyAlignment="1">
      <alignment horizontal="center"/>
    </xf>
    <xf numFmtId="0" fontId="8" fillId="0" borderId="0" xfId="7" applyAlignment="1">
      <alignment horizontal="right"/>
    </xf>
    <xf numFmtId="0" fontId="36" fillId="0" borderId="0" xfId="7" applyFont="1" applyAlignment="1">
      <alignment horizontal="right"/>
    </xf>
    <xf numFmtId="175" fontId="55" fillId="0" borderId="38" xfId="26" applyNumberFormat="1" applyFont="1" applyFill="1" applyBorder="1" applyAlignment="1">
      <alignment horizontal="center"/>
    </xf>
    <xf numFmtId="166" fontId="8" fillId="0" borderId="0" xfId="7" applyNumberFormat="1" applyFill="1" applyAlignment="1">
      <alignment horizontal="center"/>
    </xf>
    <xf numFmtId="166" fontId="9" fillId="0" borderId="0" xfId="25" applyNumberFormat="1" applyFont="1" applyFill="1" applyAlignment="1">
      <alignment horizontal="right"/>
    </xf>
    <xf numFmtId="0" fontId="37" fillId="0" borderId="0" xfId="0" applyFont="1" applyFill="1" applyAlignment="1">
      <alignment vertical="center"/>
    </xf>
    <xf numFmtId="167" fontId="33" fillId="0" borderId="0" xfId="25" applyNumberFormat="1" applyFont="1" applyFill="1" applyAlignment="1">
      <alignment horizontal="right"/>
    </xf>
    <xf numFmtId="166" fontId="35" fillId="0" borderId="0" xfId="25" applyNumberFormat="1" applyFont="1" applyFill="1" applyAlignment="1">
      <alignment horizontal="right"/>
    </xf>
    <xf numFmtId="167" fontId="33" fillId="0" borderId="0" xfId="25" applyNumberFormat="1" applyFont="1" applyFill="1" applyAlignment="1">
      <alignment horizontal="left"/>
    </xf>
    <xf numFmtId="167" fontId="33" fillId="0" borderId="0" xfId="25" applyNumberFormat="1" applyFont="1" applyFill="1" applyAlignment="1">
      <alignment horizontal="center" vertical="center"/>
    </xf>
    <xf numFmtId="168" fontId="33" fillId="0" borderId="0" xfId="25" applyNumberFormat="1" applyFont="1" applyFill="1" applyAlignment="1">
      <alignment horizontal="right"/>
    </xf>
    <xf numFmtId="167" fontId="33" fillId="0" borderId="0" xfId="25" applyNumberFormat="1" applyFont="1" applyFill="1"/>
    <xf numFmtId="0" fontId="25" fillId="0" borderId="0" xfId="29" applyFont="1" applyFill="1" applyAlignment="1">
      <alignment horizontal="right"/>
    </xf>
    <xf numFmtId="0" fontId="25" fillId="0" borderId="0" xfId="29" applyFont="1" applyFill="1" applyAlignment="1"/>
    <xf numFmtId="166" fontId="32" fillId="0" borderId="0" xfId="25" applyNumberFormat="1" applyFont="1" applyFill="1" applyAlignment="1">
      <alignment horizontal="right"/>
    </xf>
    <xf numFmtId="166" fontId="16" fillId="0" borderId="1" xfId="25" applyNumberFormat="1" applyFont="1" applyFill="1" applyBorder="1" applyAlignment="1">
      <alignment horizontal="center" vertical="center"/>
    </xf>
    <xf numFmtId="167" fontId="22" fillId="0" borderId="1" xfId="25" applyNumberFormat="1" applyFont="1" applyFill="1" applyBorder="1" applyAlignment="1">
      <alignment horizontal="right" vertical="center" wrapText="1"/>
    </xf>
    <xf numFmtId="166" fontId="22" fillId="0" borderId="1" xfId="25" applyNumberFormat="1" applyFont="1" applyFill="1" applyBorder="1" applyAlignment="1">
      <alignment horizontal="right" vertical="center" wrapText="1"/>
    </xf>
    <xf numFmtId="167" fontId="28" fillId="0" borderId="1" xfId="25" applyNumberFormat="1" applyFont="1" applyFill="1" applyBorder="1" applyAlignment="1">
      <alignment horizontal="right" vertical="center" wrapText="1"/>
    </xf>
    <xf numFmtId="166" fontId="28" fillId="0" borderId="1" xfId="25" applyNumberFormat="1" applyFont="1" applyFill="1" applyBorder="1" applyAlignment="1">
      <alignment horizontal="right" vertical="center" wrapText="1"/>
    </xf>
    <xf numFmtId="166" fontId="13" fillId="0" borderId="1" xfId="25" applyNumberFormat="1" applyFont="1" applyFill="1" applyBorder="1" applyAlignment="1">
      <alignment horizontal="right" vertical="center" wrapText="1"/>
    </xf>
    <xf numFmtId="167" fontId="13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7" fontId="16" fillId="0" borderId="1" xfId="25" applyNumberFormat="1" applyFont="1" applyFill="1" applyBorder="1" applyAlignment="1">
      <alignment horizontal="right" vertical="center" wrapText="1"/>
    </xf>
    <xf numFmtId="166" fontId="16" fillId="0" borderId="1" xfId="25" applyNumberFormat="1" applyFont="1" applyFill="1" applyBorder="1" applyAlignment="1">
      <alignment horizontal="right" vertical="center" wrapText="1"/>
    </xf>
    <xf numFmtId="165" fontId="11" fillId="0" borderId="1" xfId="25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30" fillId="0" borderId="1" xfId="25" applyNumberFormat="1" applyFont="1" applyFill="1" applyBorder="1" applyAlignment="1">
      <alignment horizontal="right" vertical="center" wrapText="1"/>
    </xf>
    <xf numFmtId="166" fontId="30" fillId="0" borderId="1" xfId="25" applyNumberFormat="1" applyFont="1" applyFill="1" applyBorder="1" applyAlignment="1">
      <alignment horizontal="right" vertical="center" wrapText="1"/>
    </xf>
    <xf numFmtId="168" fontId="16" fillId="0" borderId="1" xfId="25" applyNumberFormat="1" applyFont="1" applyFill="1" applyBorder="1" applyAlignment="1">
      <alignment horizontal="right" vertical="center" wrapText="1"/>
    </xf>
    <xf numFmtId="165" fontId="27" fillId="0" borderId="1" xfId="25" applyFont="1" applyFill="1" applyBorder="1" applyAlignment="1">
      <alignment horizontal="right" vertical="center" wrapText="1"/>
    </xf>
    <xf numFmtId="167" fontId="11" fillId="0" borderId="15" xfId="25" applyNumberFormat="1" applyFont="1" applyFill="1" applyBorder="1" applyAlignment="1">
      <alignment horizontal="right" vertical="center" wrapText="1"/>
    </xf>
    <xf numFmtId="165" fontId="16" fillId="0" borderId="1" xfId="25" applyFont="1" applyFill="1" applyBorder="1" applyAlignment="1">
      <alignment horizontal="right" vertical="center" wrapText="1"/>
    </xf>
    <xf numFmtId="167" fontId="16" fillId="0" borderId="1" xfId="25" applyNumberFormat="1" applyFont="1" applyFill="1" applyBorder="1" applyAlignment="1">
      <alignment vertical="center" wrapText="1"/>
    </xf>
    <xf numFmtId="166" fontId="11" fillId="0" borderId="1" xfId="25" applyNumberFormat="1" applyFont="1" applyFill="1" applyBorder="1" applyAlignment="1">
      <alignment vertical="center" wrapText="1"/>
    </xf>
    <xf numFmtId="49" fontId="30" fillId="0" borderId="0" xfId="3" applyNumberFormat="1" applyFont="1" applyFill="1" applyBorder="1" applyAlignment="1">
      <alignment horizontal="center" vertical="center" wrapText="1"/>
    </xf>
    <xf numFmtId="165" fontId="12" fillId="0" borderId="1" xfId="25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vertical="center" wrapText="1"/>
    </xf>
    <xf numFmtId="168" fontId="16" fillId="0" borderId="7" xfId="25" applyNumberFormat="1" applyFont="1" applyFill="1" applyBorder="1" applyAlignment="1">
      <alignment horizontal="right" vertical="center"/>
    </xf>
    <xf numFmtId="167" fontId="16" fillId="0" borderId="7" xfId="25" applyNumberFormat="1" applyFont="1" applyFill="1" applyBorder="1" applyAlignment="1">
      <alignment horizontal="center" vertical="center"/>
    </xf>
    <xf numFmtId="167" fontId="16" fillId="0" borderId="7" xfId="25" applyNumberFormat="1" applyFont="1" applyFill="1" applyBorder="1" applyAlignment="1">
      <alignment vertical="center" wrapText="1"/>
    </xf>
    <xf numFmtId="170" fontId="9" fillId="0" borderId="0" xfId="30" applyFont="1" applyFill="1" applyBorder="1"/>
    <xf numFmtId="0" fontId="25" fillId="0" borderId="0" xfId="29" applyFont="1" applyFill="1" applyBorder="1" applyAlignment="1"/>
    <xf numFmtId="0" fontId="20" fillId="0" borderId="1" xfId="31" applyFont="1" applyFill="1" applyBorder="1" applyAlignment="1">
      <alignment horizontal="left" vertical="center" wrapText="1"/>
    </xf>
    <xf numFmtId="0" fontId="20" fillId="0" borderId="7" xfId="31" applyFont="1" applyFill="1" applyBorder="1" applyAlignment="1">
      <alignment horizontal="left" vertical="center" wrapText="1"/>
    </xf>
    <xf numFmtId="0" fontId="12" fillId="0" borderId="1" xfId="31" applyFont="1" applyFill="1" applyBorder="1" applyAlignment="1">
      <alignment horizontal="left" vertical="top" wrapText="1"/>
    </xf>
    <xf numFmtId="0" fontId="12" fillId="0" borderId="7" xfId="31" applyFont="1" applyFill="1" applyBorder="1" applyAlignment="1">
      <alignment horizontal="left" vertical="center" wrapText="1"/>
    </xf>
    <xf numFmtId="167" fontId="12" fillId="0" borderId="1" xfId="31" applyNumberFormat="1" applyFont="1" applyFill="1" applyBorder="1" applyAlignment="1">
      <alignment horizontal="left" vertical="center" wrapText="1"/>
    </xf>
    <xf numFmtId="0" fontId="20" fillId="0" borderId="0" xfId="31" applyFont="1" applyFill="1" applyBorder="1" applyAlignment="1">
      <alignment horizontal="left" vertical="center" wrapText="1"/>
    </xf>
    <xf numFmtId="167" fontId="11" fillId="0" borderId="2" xfId="25" applyNumberFormat="1" applyFont="1" applyFill="1" applyBorder="1" applyAlignment="1">
      <alignment horizontal="right" vertical="center" wrapText="1"/>
    </xf>
    <xf numFmtId="165" fontId="16" fillId="0" borderId="2" xfId="25" applyFont="1" applyFill="1" applyBorder="1" applyAlignment="1">
      <alignment horizontal="right" vertical="center" wrapText="1"/>
    </xf>
    <xf numFmtId="166" fontId="16" fillId="0" borderId="2" xfId="25" applyNumberFormat="1" applyFont="1" applyFill="1" applyBorder="1" applyAlignment="1">
      <alignment horizontal="right" vertical="center" wrapText="1"/>
    </xf>
    <xf numFmtId="0" fontId="12" fillId="0" borderId="7" xfId="31" applyFont="1" applyFill="1" applyBorder="1" applyAlignment="1">
      <alignment vertical="top" wrapText="1"/>
    </xf>
    <xf numFmtId="168" fontId="16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3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0" fontId="12" fillId="0" borderId="1" xfId="31" applyFont="1" applyFill="1" applyBorder="1" applyAlignment="1">
      <alignment horizontal="left" vertical="center" wrapText="1"/>
    </xf>
    <xf numFmtId="167" fontId="9" fillId="0" borderId="1" xfId="25" applyNumberFormat="1" applyFont="1" applyFill="1" applyBorder="1" applyAlignment="1">
      <alignment vertical="center"/>
    </xf>
    <xf numFmtId="167" fontId="12" fillId="0" borderId="1" xfId="25" applyNumberFormat="1" applyFont="1" applyFill="1" applyBorder="1" applyAlignment="1">
      <alignment vertical="center"/>
    </xf>
    <xf numFmtId="166" fontId="12" fillId="0" borderId="1" xfId="25" applyNumberFormat="1" applyFont="1" applyFill="1" applyBorder="1" applyAlignment="1">
      <alignment vertical="center"/>
    </xf>
    <xf numFmtId="0" fontId="12" fillId="0" borderId="1" xfId="31" applyNumberFormat="1" applyFont="1" applyFill="1" applyBorder="1" applyAlignment="1" applyProtection="1">
      <alignment horizontal="left" vertical="center" wrapText="1"/>
    </xf>
    <xf numFmtId="169" fontId="12" fillId="0" borderId="1" xfId="31" applyNumberFormat="1" applyFont="1" applyFill="1" applyBorder="1" applyAlignment="1" applyProtection="1">
      <alignment horizontal="left" vertical="center" wrapText="1"/>
    </xf>
    <xf numFmtId="166" fontId="11" fillId="0" borderId="0" xfId="25" applyNumberFormat="1" applyFont="1" applyFill="1" applyBorder="1" applyAlignment="1">
      <alignment horizontal="right" vertical="center" wrapText="1"/>
    </xf>
    <xf numFmtId="166" fontId="58" fillId="0" borderId="1" xfId="5" applyNumberFormat="1" applyFont="1" applyFill="1" applyBorder="1" applyAlignment="1">
      <alignment horizontal="left" vertical="center" wrapText="1"/>
    </xf>
    <xf numFmtId="167" fontId="11" fillId="0" borderId="0" xfId="25" applyNumberFormat="1" applyFont="1" applyFill="1" applyBorder="1" applyAlignment="1">
      <alignment horizontal="right" vertical="center" wrapText="1"/>
    </xf>
    <xf numFmtId="49" fontId="11" fillId="0" borderId="1" xfId="25" applyNumberFormat="1" applyFont="1" applyFill="1" applyBorder="1" applyAlignment="1">
      <alignment horizontal="right" vertical="center" wrapText="1"/>
    </xf>
    <xf numFmtId="49" fontId="12" fillId="0" borderId="7" xfId="3" applyNumberFormat="1" applyFont="1" applyFill="1" applyBorder="1" applyAlignment="1">
      <alignment horizontal="right" vertical="center" wrapText="1"/>
    </xf>
    <xf numFmtId="166" fontId="11" fillId="0" borderId="10" xfId="25" applyNumberFormat="1" applyFont="1" applyFill="1" applyBorder="1" applyAlignment="1">
      <alignment horizontal="right" vertical="center" wrapText="1"/>
    </xf>
    <xf numFmtId="166" fontId="11" fillId="0" borderId="18" xfId="25" applyNumberFormat="1" applyFont="1" applyFill="1" applyBorder="1" applyAlignment="1">
      <alignment horizontal="right" vertical="center" wrapText="1"/>
    </xf>
    <xf numFmtId="49" fontId="11" fillId="0" borderId="1" xfId="25" applyNumberFormat="1" applyFont="1" applyFill="1" applyBorder="1" applyAlignment="1">
      <alignment vertical="center" wrapText="1"/>
    </xf>
    <xf numFmtId="167" fontId="11" fillId="0" borderId="1" xfId="25" applyNumberFormat="1" applyFont="1" applyFill="1" applyBorder="1" applyAlignment="1">
      <alignment vertical="center" wrapText="1"/>
    </xf>
    <xf numFmtId="49" fontId="12" fillId="0" borderId="18" xfId="3" applyNumberFormat="1" applyFont="1" applyFill="1" applyBorder="1" applyAlignment="1">
      <alignment horizontal="right"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9" fillId="0" borderId="1" xfId="3" applyNumberFormat="1" applyFont="1" applyFill="1" applyBorder="1" applyAlignment="1">
      <alignment horizontal="center" vertical="center"/>
    </xf>
    <xf numFmtId="49" fontId="13" fillId="0" borderId="1" xfId="25" applyNumberFormat="1" applyFont="1" applyFill="1" applyBorder="1" applyAlignment="1">
      <alignment horizontal="right"/>
    </xf>
    <xf numFmtId="166" fontId="13" fillId="0" borderId="1" xfId="25" applyNumberFormat="1" applyFont="1" applyFill="1" applyBorder="1" applyAlignment="1">
      <alignment horizontal="right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168" fontId="12" fillId="0" borderId="1" xfId="3" applyNumberFormat="1" applyFont="1" applyFill="1" applyBorder="1" applyAlignment="1">
      <alignment horizontal="right" vertical="center" wrapText="1"/>
    </xf>
    <xf numFmtId="166" fontId="9" fillId="0" borderId="1" xfId="25" applyNumberFormat="1" applyFont="1" applyFill="1" applyBorder="1" applyAlignment="1">
      <alignment horizontal="right"/>
    </xf>
    <xf numFmtId="168" fontId="40" fillId="0" borderId="7" xfId="5" applyNumberFormat="1" applyFont="1" applyFill="1" applyBorder="1" applyAlignment="1">
      <alignment horizontal="right" vertical="center" wrapText="1"/>
    </xf>
    <xf numFmtId="178" fontId="9" fillId="0" borderId="0" xfId="3" applyNumberFormat="1" applyFont="1" applyFill="1"/>
    <xf numFmtId="174" fontId="51" fillId="0" borderId="1" xfId="5" applyNumberFormat="1" applyFont="1" applyFill="1" applyBorder="1" applyAlignment="1">
      <alignment horizontal="right" vertical="center" wrapText="1"/>
    </xf>
    <xf numFmtId="49" fontId="12" fillId="0" borderId="1" xfId="5" applyNumberFormat="1" applyFont="1" applyFill="1" applyBorder="1" applyAlignment="1">
      <alignment horizontal="center" vertical="center" wrapText="1"/>
    </xf>
    <xf numFmtId="172" fontId="12" fillId="0" borderId="7" xfId="5" applyNumberFormat="1" applyFont="1" applyFill="1" applyBorder="1" applyAlignment="1">
      <alignment vertical="center" wrapText="1"/>
    </xf>
    <xf numFmtId="172" fontId="12" fillId="0" borderId="1" xfId="5" applyNumberFormat="1" applyFont="1" applyFill="1" applyBorder="1" applyAlignment="1">
      <alignment vertical="center" wrapText="1"/>
    </xf>
    <xf numFmtId="49" fontId="11" fillId="0" borderId="7" xfId="3" applyNumberFormat="1" applyFont="1" applyFill="1" applyBorder="1" applyAlignment="1">
      <alignment horizontal="center" vertical="center" wrapText="1"/>
    </xf>
    <xf numFmtId="166" fontId="11" fillId="0" borderId="14" xfId="25" applyNumberFormat="1" applyFont="1" applyFill="1" applyBorder="1" applyAlignment="1">
      <alignment horizontal="right" vertical="center" wrapText="1"/>
    </xf>
    <xf numFmtId="172" fontId="12" fillId="0" borderId="8" xfId="5" applyNumberFormat="1" applyFont="1" applyFill="1" applyBorder="1" applyAlignment="1">
      <alignment horizontal="left" vertical="center" wrapText="1"/>
    </xf>
    <xf numFmtId="0" fontId="12" fillId="0" borderId="7" xfId="10" applyFont="1" applyFill="1" applyBorder="1" applyAlignment="1">
      <alignment horizontal="left" vertical="center" wrapText="1"/>
    </xf>
    <xf numFmtId="49" fontId="11" fillId="0" borderId="18" xfId="25" applyNumberFormat="1" applyFont="1" applyFill="1" applyBorder="1" applyAlignment="1">
      <alignment vertical="center" wrapText="1"/>
    </xf>
    <xf numFmtId="167" fontId="11" fillId="0" borderId="18" xfId="25" applyNumberFormat="1" applyFont="1" applyFill="1" applyBorder="1" applyAlignment="1">
      <alignment vertical="center" wrapText="1"/>
    </xf>
    <xf numFmtId="0" fontId="8" fillId="0" borderId="0" xfId="7" applyFill="1" applyAlignment="1">
      <alignment horizontal="right"/>
    </xf>
    <xf numFmtId="166" fontId="59" fillId="0" borderId="0" xfId="1" applyNumberFormat="1" applyFont="1" applyFill="1" applyAlignment="1">
      <alignment horizontal="right"/>
    </xf>
    <xf numFmtId="168" fontId="59" fillId="0" borderId="0" xfId="1" applyNumberFormat="1" applyFont="1" applyFill="1" applyAlignment="1">
      <alignment horizontal="right"/>
    </xf>
    <xf numFmtId="168" fontId="12" fillId="0" borderId="9" xfId="4" applyNumberFormat="1" applyFont="1" applyFill="1" applyBorder="1" applyAlignment="1">
      <alignment horizontal="right" vertical="center" wrapText="1"/>
    </xf>
    <xf numFmtId="0" fontId="59" fillId="0" borderId="0" xfId="3" applyFont="1" applyFill="1"/>
    <xf numFmtId="0" fontId="32" fillId="0" borderId="0" xfId="9" applyFont="1" applyAlignment="1">
      <alignment horizontal="right" vertical="center"/>
    </xf>
    <xf numFmtId="0" fontId="8" fillId="0" borderId="0" xfId="7" applyFill="1"/>
    <xf numFmtId="168" fontId="53" fillId="0" borderId="0" xfId="24" applyNumberFormat="1" applyFont="1" applyFill="1" applyAlignment="1"/>
    <xf numFmtId="168" fontId="53" fillId="0" borderId="0" xfId="7" applyNumberFormat="1" applyFont="1" applyFill="1" applyAlignment="1"/>
    <xf numFmtId="166" fontId="8" fillId="0" borderId="0" xfId="7" applyNumberFormat="1" applyFill="1"/>
    <xf numFmtId="0" fontId="12" fillId="0" borderId="0" xfId="27" applyFont="1"/>
    <xf numFmtId="0" fontId="32" fillId="0" borderId="0" xfId="27" applyFont="1" applyAlignment="1">
      <alignment wrapText="1"/>
    </xf>
    <xf numFmtId="0" fontId="8" fillId="0" borderId="0" xfId="27"/>
    <xf numFmtId="0" fontId="32" fillId="0" borderId="0" xfId="27" applyFont="1" applyAlignment="1"/>
    <xf numFmtId="0" fontId="8" fillId="0" borderId="0" xfId="27" applyAlignment="1">
      <alignment horizontal="center"/>
    </xf>
    <xf numFmtId="0" fontId="8" fillId="0" borderId="0" xfId="27" applyAlignment="1">
      <alignment wrapText="1"/>
    </xf>
    <xf numFmtId="0" fontId="8" fillId="0" borderId="0" xfId="27" applyFill="1"/>
    <xf numFmtId="0" fontId="12" fillId="0" borderId="0" xfId="9" applyFont="1" applyAlignment="1">
      <alignment vertical="center"/>
    </xf>
    <xf numFmtId="0" fontId="8" fillId="0" borderId="0" xfId="27" applyFont="1"/>
    <xf numFmtId="0" fontId="60" fillId="0" borderId="0" xfId="27" applyFont="1" applyAlignment="1">
      <alignment horizontal="center" wrapText="1"/>
    </xf>
    <xf numFmtId="0" fontId="13" fillId="2" borderId="14" xfId="3" applyFont="1" applyFill="1" applyBorder="1" applyAlignment="1">
      <alignment horizontal="center" vertical="center" wrapText="1"/>
    </xf>
    <xf numFmtId="169" fontId="26" fillId="2" borderId="28" xfId="9" applyNumberFormat="1" applyFont="1" applyFill="1" applyBorder="1" applyAlignment="1">
      <alignment horizontal="center" vertical="top" wrapText="1"/>
    </xf>
    <xf numFmtId="169" fontId="26" fillId="2" borderId="25" xfId="9" applyNumberFormat="1" applyFont="1" applyFill="1" applyBorder="1" applyAlignment="1">
      <alignment horizontal="center" vertical="top" wrapText="1"/>
    </xf>
    <xf numFmtId="0" fontId="9" fillId="2" borderId="0" xfId="3" applyFont="1" applyFill="1"/>
    <xf numFmtId="0" fontId="13" fillId="2" borderId="58" xfId="3" applyFont="1" applyFill="1" applyBorder="1" applyAlignment="1">
      <alignment horizontal="center" vertical="center" wrapText="1"/>
    </xf>
    <xf numFmtId="49" fontId="28" fillId="4" borderId="1" xfId="3" applyNumberFormat="1" applyFont="1" applyFill="1" applyBorder="1" applyAlignment="1">
      <alignment horizontal="center" vertical="center" wrapText="1"/>
    </xf>
    <xf numFmtId="0" fontId="28" fillId="2" borderId="1" xfId="3" applyFont="1" applyFill="1" applyBorder="1" applyAlignment="1">
      <alignment horizontal="center" vertical="center" wrapText="1"/>
    </xf>
    <xf numFmtId="0" fontId="16" fillId="3" borderId="1" xfId="3" applyFont="1" applyFill="1" applyBorder="1" applyAlignment="1">
      <alignment horizontal="center" vertical="center" wrapText="1"/>
    </xf>
    <xf numFmtId="167" fontId="26" fillId="2" borderId="7" xfId="24" applyNumberFormat="1" applyFont="1" applyFill="1" applyBorder="1" applyAlignment="1">
      <alignment horizontal="center" vertical="top" wrapText="1"/>
    </xf>
    <xf numFmtId="166" fontId="26" fillId="2" borderId="9" xfId="24" applyNumberFormat="1" applyFont="1" applyFill="1" applyBorder="1" applyAlignment="1">
      <alignment horizontal="right" vertical="top" wrapText="1"/>
    </xf>
    <xf numFmtId="0" fontId="12" fillId="2" borderId="58" xfId="3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center" vertical="center" wrapText="1"/>
    </xf>
    <xf numFmtId="0" fontId="11" fillId="3" borderId="1" xfId="3" applyFont="1" applyFill="1" applyBorder="1" applyAlignment="1">
      <alignment horizontal="center" vertical="center" wrapText="1"/>
    </xf>
    <xf numFmtId="166" fontId="61" fillId="2" borderId="7" xfId="24" applyNumberFormat="1" applyFont="1" applyFill="1" applyBorder="1" applyAlignment="1">
      <alignment horizontal="right" vertical="center" wrapText="1"/>
    </xf>
    <xf numFmtId="166" fontId="61" fillId="2" borderId="9" xfId="24" applyNumberFormat="1" applyFont="1" applyFill="1" applyBorder="1" applyAlignment="1">
      <alignment horizontal="right" vertical="center" wrapText="1"/>
    </xf>
    <xf numFmtId="0" fontId="56" fillId="0" borderId="58" xfId="3" applyFont="1" applyBorder="1" applyAlignment="1">
      <alignment horizontal="center"/>
    </xf>
    <xf numFmtId="49" fontId="11" fillId="2" borderId="1" xfId="3" applyNumberFormat="1" applyFont="1" applyFill="1" applyBorder="1" applyAlignment="1">
      <alignment horizontal="center" vertical="center" wrapText="1"/>
    </xf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0" fontId="9" fillId="0" borderId="0" xfId="3" applyFont="1"/>
    <xf numFmtId="0" fontId="9" fillId="0" borderId="0" xfId="3" applyFont="1" applyAlignment="1">
      <alignment horizontal="center"/>
    </xf>
    <xf numFmtId="0" fontId="12" fillId="0" borderId="48" xfId="9" applyFont="1" applyBorder="1"/>
    <xf numFmtId="166" fontId="12" fillId="2" borderId="7" xfId="24" applyNumberFormat="1" applyFont="1" applyFill="1" applyBorder="1" applyAlignment="1">
      <alignment horizontal="right" vertical="center" wrapText="1"/>
    </xf>
    <xf numFmtId="166" fontId="12" fillId="2" borderId="9" xfId="24" applyNumberFormat="1" applyFont="1" applyFill="1" applyBorder="1" applyAlignment="1">
      <alignment horizontal="right" vertical="center" wrapText="1"/>
    </xf>
    <xf numFmtId="166" fontId="12" fillId="2" borderId="59" xfId="24" applyNumberFormat="1" applyFont="1" applyFill="1" applyBorder="1" applyAlignment="1">
      <alignment horizontal="right" vertical="center" wrapText="1"/>
    </xf>
    <xf numFmtId="166" fontId="12" fillId="2" borderId="3" xfId="24" applyNumberFormat="1" applyFont="1" applyFill="1" applyBorder="1" applyAlignment="1">
      <alignment horizontal="right" vertical="center" wrapText="1"/>
    </xf>
    <xf numFmtId="0" fontId="62" fillId="0" borderId="0" xfId="9" applyFont="1" applyAlignment="1">
      <alignment horizontal="center"/>
    </xf>
    <xf numFmtId="0" fontId="62" fillId="0" borderId="0" xfId="9" applyFont="1"/>
    <xf numFmtId="0" fontId="63" fillId="0" borderId="0" xfId="9" applyFont="1" applyAlignment="1">
      <alignment horizontal="right"/>
    </xf>
    <xf numFmtId="0" fontId="62" fillId="0" borderId="0" xfId="9" applyFont="1" applyAlignment="1">
      <alignment vertical="top" wrapText="1"/>
    </xf>
    <xf numFmtId="0" fontId="32" fillId="0" borderId="0" xfId="9" applyFont="1" applyBorder="1" applyAlignment="1">
      <alignment horizontal="center"/>
    </xf>
    <xf numFmtId="0" fontId="32" fillId="0" borderId="0" xfId="9" applyFont="1" applyBorder="1" applyAlignment="1">
      <alignment vertical="top" wrapText="1"/>
    </xf>
    <xf numFmtId="4" fontId="32" fillId="0" borderId="0" xfId="9" applyNumberFormat="1" applyFont="1" applyBorder="1" applyAlignment="1">
      <alignment horizontal="center"/>
    </xf>
    <xf numFmtId="0" fontId="25" fillId="0" borderId="47" xfId="9" applyFont="1" applyBorder="1" applyAlignment="1">
      <alignment horizontal="center" vertical="center" wrapText="1"/>
    </xf>
    <xf numFmtId="0" fontId="9" fillId="0" borderId="0" xfId="9" applyAlignment="1">
      <alignment vertical="center"/>
    </xf>
    <xf numFmtId="9" fontId="32" fillId="0" borderId="25" xfId="9" applyNumberFormat="1" applyFont="1" applyBorder="1" applyAlignment="1">
      <alignment horizontal="center" vertical="center"/>
    </xf>
    <xf numFmtId="9" fontId="32" fillId="0" borderId="20" xfId="9" applyNumberFormat="1" applyFont="1" applyBorder="1" applyAlignment="1">
      <alignment horizontal="center" vertical="center"/>
    </xf>
    <xf numFmtId="9" fontId="32" fillId="0" borderId="6" xfId="9" applyNumberFormat="1" applyFont="1" applyBorder="1" applyAlignment="1">
      <alignment horizontal="center" vertical="center"/>
    </xf>
    <xf numFmtId="9" fontId="32" fillId="0" borderId="6" xfId="9" applyNumberFormat="1" applyFont="1" applyFill="1" applyBorder="1" applyAlignment="1">
      <alignment horizontal="center" vertical="center"/>
    </xf>
    <xf numFmtId="9" fontId="32" fillId="0" borderId="22" xfId="9" applyNumberFormat="1" applyFont="1" applyBorder="1" applyAlignment="1">
      <alignment horizontal="center" vertical="center"/>
    </xf>
    <xf numFmtId="9" fontId="32" fillId="0" borderId="52" xfId="9" applyNumberFormat="1" applyFont="1" applyBorder="1" applyAlignment="1">
      <alignment horizontal="center" vertical="center"/>
    </xf>
    <xf numFmtId="0" fontId="62" fillId="0" borderId="0" xfId="9" applyFont="1" applyBorder="1" applyAlignment="1">
      <alignment horizontal="center"/>
    </xf>
    <xf numFmtId="0" fontId="62" fillId="0" borderId="0" xfId="9" applyFont="1" applyBorder="1"/>
    <xf numFmtId="0" fontId="36" fillId="0" borderId="0" xfId="8" applyFont="1" applyFill="1" applyAlignment="1">
      <alignment horizontal="right"/>
    </xf>
    <xf numFmtId="166" fontId="9" fillId="0" borderId="0" xfId="24" applyNumberFormat="1" applyFont="1" applyAlignment="1">
      <alignment horizontal="right"/>
    </xf>
    <xf numFmtId="0" fontId="9" fillId="0" borderId="0" xfId="3" applyFont="1" applyAlignment="1">
      <alignment horizontal="left" vertical="center"/>
    </xf>
    <xf numFmtId="0" fontId="36" fillId="0" borderId="0" xfId="7" applyFont="1" applyBorder="1" applyAlignment="1"/>
    <xf numFmtId="0" fontId="9" fillId="0" borderId="0" xfId="3" applyFont="1" applyBorder="1"/>
    <xf numFmtId="0" fontId="36" fillId="0" borderId="0" xfId="7" applyFont="1" applyFill="1" applyBorder="1" applyAlignment="1">
      <alignment horizontal="right" vertical="center"/>
    </xf>
    <xf numFmtId="0" fontId="48" fillId="0" borderId="0" xfId="9" applyFont="1" applyBorder="1" applyAlignment="1">
      <alignment vertical="center"/>
    </xf>
    <xf numFmtId="0" fontId="9" fillId="0" borderId="0" xfId="3" applyFont="1" applyAlignment="1">
      <alignment horizontal="center" vertical="center"/>
    </xf>
    <xf numFmtId="0" fontId="35" fillId="0" borderId="0" xfId="3" applyFont="1" applyAlignment="1">
      <alignment horizontal="left" vertical="center"/>
    </xf>
    <xf numFmtId="0" fontId="35" fillId="0" borderId="0" xfId="3" applyFont="1" applyAlignment="1">
      <alignment horizontal="center"/>
    </xf>
    <xf numFmtId="0" fontId="35" fillId="0" borderId="0" xfId="3" applyFont="1" applyAlignment="1">
      <alignment horizontal="center" vertical="center"/>
    </xf>
    <xf numFmtId="166" fontId="35" fillId="0" borderId="0" xfId="24" applyNumberFormat="1" applyFont="1" applyAlignment="1">
      <alignment horizontal="right"/>
    </xf>
    <xf numFmtId="167" fontId="33" fillId="0" borderId="0" xfId="24" applyNumberFormat="1" applyFont="1" applyAlignment="1">
      <alignment horizontal="left"/>
    </xf>
    <xf numFmtId="167" fontId="33" fillId="0" borderId="0" xfId="24" applyNumberFormat="1" applyFont="1" applyAlignment="1">
      <alignment horizontal="center" vertical="center"/>
    </xf>
    <xf numFmtId="167" fontId="33" fillId="0" borderId="0" xfId="24" applyNumberFormat="1" applyFont="1"/>
    <xf numFmtId="49" fontId="34" fillId="0" borderId="0" xfId="3" applyNumberFormat="1" applyFont="1" applyAlignment="1">
      <alignment horizontal="right" vertical="center" wrapText="1"/>
    </xf>
    <xf numFmtId="171" fontId="33" fillId="0" borderId="0" xfId="3" applyNumberFormat="1" applyFont="1" applyBorder="1" applyAlignment="1">
      <alignment horizontal="left"/>
    </xf>
    <xf numFmtId="171" fontId="33" fillId="0" borderId="0" xfId="3" applyNumberFormat="1" applyFont="1" applyBorder="1" applyAlignment="1">
      <alignment horizontal="center"/>
    </xf>
    <xf numFmtId="0" fontId="9" fillId="0" borderId="0" xfId="3" applyFont="1" applyAlignment="1">
      <alignment horizontal="right"/>
    </xf>
    <xf numFmtId="0" fontId="25" fillId="0" borderId="0" xfId="32" applyFont="1" applyAlignment="1">
      <alignment horizontal="right"/>
    </xf>
    <xf numFmtId="0" fontId="25" fillId="0" borderId="0" xfId="32" applyFont="1" applyFill="1" applyAlignment="1">
      <alignment horizontal="right"/>
    </xf>
    <xf numFmtId="0" fontId="32" fillId="0" borderId="0" xfId="3" applyFont="1" applyAlignment="1">
      <alignment horizontal="left" vertical="center"/>
    </xf>
    <xf numFmtId="0" fontId="32" fillId="0" borderId="0" xfId="3" applyFont="1" applyAlignment="1">
      <alignment horizontal="center"/>
    </xf>
    <xf numFmtId="0" fontId="32" fillId="0" borderId="0" xfId="3" applyFont="1" applyAlignment="1">
      <alignment horizontal="center" vertical="center"/>
    </xf>
    <xf numFmtId="0" fontId="16" fillId="5" borderId="1" xfId="3" applyFont="1" applyFill="1" applyBorder="1" applyAlignment="1">
      <alignment horizontal="center" vertical="center"/>
    </xf>
    <xf numFmtId="0" fontId="16" fillId="5" borderId="1" xfId="3" applyFont="1" applyFill="1" applyBorder="1" applyAlignment="1">
      <alignment horizontal="center" vertical="center" wrapText="1"/>
    </xf>
    <xf numFmtId="166" fontId="16" fillId="0" borderId="1" xfId="24" applyNumberFormat="1" applyFont="1" applyFill="1" applyBorder="1" applyAlignment="1">
      <alignment horizontal="center" vertical="center"/>
    </xf>
    <xf numFmtId="0" fontId="22" fillId="2" borderId="1" xfId="3" applyFont="1" applyFill="1" applyBorder="1" applyAlignment="1">
      <alignment horizontal="left" vertical="center" wrapText="1"/>
    </xf>
    <xf numFmtId="0" fontId="22" fillId="2" borderId="1" xfId="3" applyFont="1" applyFill="1" applyBorder="1" applyAlignment="1">
      <alignment horizontal="center" vertical="center" wrapText="1"/>
    </xf>
    <xf numFmtId="167" fontId="22" fillId="0" borderId="1" xfId="24" applyNumberFormat="1" applyFont="1" applyFill="1" applyBorder="1" applyAlignment="1">
      <alignment horizontal="right" vertical="center" wrapText="1"/>
    </xf>
    <xf numFmtId="0" fontId="19" fillId="0" borderId="0" xfId="3" applyFont="1"/>
    <xf numFmtId="0" fontId="28" fillId="4" borderId="7" xfId="3" applyFont="1" applyFill="1" applyBorder="1" applyAlignment="1">
      <alignment horizontal="left" vertical="center" wrapText="1"/>
    </xf>
    <xf numFmtId="0" fontId="28" fillId="4" borderId="1" xfId="3" applyFont="1" applyFill="1" applyBorder="1" applyAlignment="1">
      <alignment horizontal="center" vertical="center" wrapText="1"/>
    </xf>
    <xf numFmtId="167" fontId="28" fillId="0" borderId="1" xfId="24" applyNumberFormat="1" applyFont="1" applyFill="1" applyBorder="1" applyAlignment="1">
      <alignment horizontal="right" vertical="center" wrapText="1"/>
    </xf>
    <xf numFmtId="0" fontId="13" fillId="2" borderId="1" xfId="3" applyFont="1" applyFill="1" applyBorder="1" applyAlignment="1">
      <alignment horizontal="left" vertical="center" wrapText="1"/>
    </xf>
    <xf numFmtId="0" fontId="13" fillId="2" borderId="1" xfId="3" applyFont="1" applyFill="1" applyBorder="1" applyAlignment="1">
      <alignment horizontal="center" vertical="center" wrapText="1"/>
    </xf>
    <xf numFmtId="166" fontId="13" fillId="0" borderId="1" xfId="24" applyNumberFormat="1" applyFont="1" applyFill="1" applyBorder="1" applyAlignment="1">
      <alignment horizontal="right" vertical="center" wrapText="1"/>
    </xf>
    <xf numFmtId="49" fontId="13" fillId="2" borderId="1" xfId="3" applyNumberFormat="1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horizontal="lef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167" fontId="13" fillId="0" borderId="1" xfId="24" applyNumberFormat="1" applyFont="1" applyFill="1" applyBorder="1" applyAlignment="1">
      <alignment horizontal="right" vertical="center" wrapText="1"/>
    </xf>
    <xf numFmtId="0" fontId="12" fillId="0" borderId="0" xfId="9" applyFont="1"/>
    <xf numFmtId="167" fontId="12" fillId="0" borderId="1" xfId="24" applyNumberFormat="1" applyFont="1" applyFill="1" applyBorder="1" applyAlignment="1">
      <alignment horizontal="right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0" fontId="16" fillId="2" borderId="7" xfId="3" applyFont="1" applyFill="1" applyBorder="1" applyAlignment="1">
      <alignment horizontal="left" vertical="center" wrapText="1"/>
    </xf>
    <xf numFmtId="0" fontId="16" fillId="2" borderId="1" xfId="3" applyFont="1" applyFill="1" applyBorder="1" applyAlignment="1">
      <alignment horizontal="center" vertical="center" wrapText="1"/>
    </xf>
    <xf numFmtId="167" fontId="16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5" fontId="11" fillId="0" borderId="1" xfId="24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6" fontId="16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 applyProtection="1">
      <alignment horizontal="left" vertical="center" wrapText="1"/>
    </xf>
    <xf numFmtId="0" fontId="15" fillId="2" borderId="7" xfId="3" applyFont="1" applyFill="1" applyBorder="1" applyAlignment="1">
      <alignment horizontal="left" vertical="center" wrapText="1"/>
    </xf>
    <xf numFmtId="169" fontId="12" fillId="2" borderId="1" xfId="3" applyNumberFormat="1" applyFont="1" applyFill="1" applyBorder="1" applyAlignment="1" applyProtection="1">
      <alignment horizontal="left" vertical="center" wrapText="1"/>
    </xf>
    <xf numFmtId="169" fontId="12" fillId="2" borderId="7" xfId="3" applyNumberFormat="1" applyFont="1" applyFill="1" applyBorder="1" applyAlignment="1">
      <alignment horizontal="left" vertical="center" wrapText="1"/>
    </xf>
    <xf numFmtId="49" fontId="12" fillId="2" borderId="7" xfId="3" applyNumberFormat="1" applyFont="1" applyFill="1" applyBorder="1" applyAlignment="1">
      <alignment horizontal="left" vertical="center" wrapText="1"/>
    </xf>
    <xf numFmtId="0" fontId="12" fillId="0" borderId="1" xfId="9" applyFont="1" applyBorder="1"/>
    <xf numFmtId="49" fontId="16" fillId="2" borderId="1" xfId="3" applyNumberFormat="1" applyFont="1" applyFill="1" applyBorder="1" applyAlignment="1">
      <alignment horizontal="center" vertical="center" wrapText="1"/>
    </xf>
    <xf numFmtId="49" fontId="28" fillId="2" borderId="7" xfId="3" applyNumberFormat="1" applyFont="1" applyFill="1" applyBorder="1" applyAlignment="1" applyProtection="1">
      <alignment horizontal="left" vertical="center" wrapText="1"/>
    </xf>
    <xf numFmtId="49" fontId="30" fillId="2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49" fontId="27" fillId="2" borderId="1" xfId="3" applyNumberFormat="1" applyFont="1" applyFill="1" applyBorder="1" applyAlignment="1">
      <alignment horizontal="center" vertical="center" wrapText="1"/>
    </xf>
    <xf numFmtId="49" fontId="12" fillId="2" borderId="7" xfId="3" applyNumberFormat="1" applyFont="1" applyFill="1" applyBorder="1" applyAlignment="1" applyProtection="1">
      <alignment horizontal="left" vertical="center" wrapText="1"/>
    </xf>
    <xf numFmtId="0" fontId="11" fillId="2" borderId="1" xfId="3" applyFont="1" applyFill="1" applyBorder="1" applyAlignment="1">
      <alignment horizontal="left" vertical="center" wrapText="1"/>
    </xf>
    <xf numFmtId="0" fontId="27" fillId="4" borderId="7" xfId="3" applyFont="1" applyFill="1" applyBorder="1" applyAlignment="1">
      <alignment horizontal="left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166" fontId="27" fillId="0" borderId="1" xfId="24" applyNumberFormat="1" applyFont="1" applyFill="1" applyBorder="1" applyAlignment="1">
      <alignment horizontal="right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24" fillId="2" borderId="7" xfId="3" applyFont="1" applyFill="1" applyBorder="1" applyAlignment="1">
      <alignment horizontal="left" vertical="center" wrapText="1"/>
    </xf>
    <xf numFmtId="49" fontId="23" fillId="2" borderId="1" xfId="3" applyNumberFormat="1" applyFont="1" applyFill="1" applyBorder="1" applyAlignment="1">
      <alignment horizontal="center" vertical="center" wrapText="1"/>
    </xf>
    <xf numFmtId="49" fontId="15" fillId="2" borderId="1" xfId="3" applyNumberFormat="1" applyFont="1" applyFill="1" applyBorder="1" applyAlignment="1">
      <alignment horizontal="center" vertical="center" wrapText="1"/>
    </xf>
    <xf numFmtId="166" fontId="11" fillId="0" borderId="7" xfId="24" applyNumberFormat="1" applyFont="1" applyFill="1" applyBorder="1" applyAlignment="1">
      <alignment horizontal="right" vertical="center" wrapText="1"/>
    </xf>
    <xf numFmtId="167" fontId="30" fillId="0" borderId="1" xfId="24" applyNumberFormat="1" applyFont="1" applyFill="1" applyBorder="1" applyAlignment="1">
      <alignment horizontal="right" vertical="center" wrapText="1"/>
    </xf>
    <xf numFmtId="0" fontId="13" fillId="2" borderId="7" xfId="3" applyFont="1" applyFill="1" applyBorder="1" applyAlignment="1">
      <alignment horizontal="left" vertical="center" wrapText="1"/>
    </xf>
    <xf numFmtId="168" fontId="16" fillId="0" borderId="1" xfId="24" applyNumberFormat="1" applyFont="1" applyFill="1" applyBorder="1" applyAlignment="1">
      <alignment horizontal="right" vertical="center" wrapText="1"/>
    </xf>
    <xf numFmtId="0" fontId="19" fillId="2" borderId="0" xfId="3" applyFont="1" applyFill="1"/>
    <xf numFmtId="0" fontId="31" fillId="0" borderId="1" xfId="3" applyFont="1" applyBorder="1" applyAlignment="1">
      <alignment wrapText="1"/>
    </xf>
    <xf numFmtId="49" fontId="30" fillId="4" borderId="1" xfId="3" applyNumberFormat="1" applyFont="1" applyFill="1" applyBorder="1" applyAlignment="1">
      <alignment horizontal="center" vertical="center" wrapText="1"/>
    </xf>
    <xf numFmtId="165" fontId="27" fillId="0" borderId="1" xfId="24" applyFont="1" applyFill="1" applyBorder="1" applyAlignment="1">
      <alignment horizontal="right" vertical="center" wrapText="1"/>
    </xf>
    <xf numFmtId="0" fontId="16" fillId="2" borderId="1" xfId="3" applyFont="1" applyFill="1" applyBorder="1" applyAlignment="1">
      <alignment horizontal="left" vertical="center" wrapText="1"/>
    </xf>
    <xf numFmtId="0" fontId="24" fillId="2" borderId="1" xfId="3" applyFont="1" applyFill="1" applyBorder="1" applyAlignment="1">
      <alignment wrapText="1"/>
    </xf>
    <xf numFmtId="0" fontId="11" fillId="2" borderId="1" xfId="3" applyFont="1" applyFill="1" applyBorder="1" applyAlignment="1">
      <alignment wrapText="1"/>
    </xf>
    <xf numFmtId="0" fontId="11" fillId="2" borderId="7" xfId="3" applyFont="1" applyFill="1" applyBorder="1" applyAlignment="1">
      <alignment vertical="top" wrapText="1"/>
    </xf>
    <xf numFmtId="0" fontId="12" fillId="0" borderId="0" xfId="9" applyFont="1" applyAlignment="1">
      <alignment wrapText="1"/>
    </xf>
    <xf numFmtId="167" fontId="11" fillId="0" borderId="15" xfId="24" applyNumberFormat="1" applyFont="1" applyFill="1" applyBorder="1" applyAlignment="1">
      <alignment horizontal="right" vertical="center" wrapText="1"/>
    </xf>
    <xf numFmtId="0" fontId="16" fillId="2" borderId="7" xfId="3" applyFont="1" applyFill="1" applyBorder="1" applyAlignment="1">
      <alignment vertical="top" wrapText="1"/>
    </xf>
    <xf numFmtId="165" fontId="16" fillId="0" borderId="1" xfId="24" applyFont="1" applyFill="1" applyBorder="1" applyAlignment="1">
      <alignment horizontal="right" vertical="center" wrapText="1"/>
    </xf>
    <xf numFmtId="167" fontId="16" fillId="0" borderId="1" xfId="24" applyNumberFormat="1" applyFont="1" applyFill="1" applyBorder="1" applyAlignment="1">
      <alignment vertical="center" wrapText="1"/>
    </xf>
    <xf numFmtId="0" fontId="13" fillId="2" borderId="7" xfId="3" applyFont="1" applyFill="1" applyBorder="1" applyAlignment="1">
      <alignment vertical="top" wrapText="1"/>
    </xf>
    <xf numFmtId="166" fontId="11" fillId="0" borderId="1" xfId="24" applyNumberFormat="1" applyFont="1" applyFill="1" applyBorder="1" applyAlignment="1">
      <alignment vertical="center" wrapText="1"/>
    </xf>
    <xf numFmtId="0" fontId="27" fillId="4" borderId="1" xfId="3" applyFont="1" applyFill="1" applyBorder="1" applyAlignment="1">
      <alignment horizontal="left" vertical="center" wrapText="1"/>
    </xf>
    <xf numFmtId="0" fontId="29" fillId="4" borderId="0" xfId="3" applyFont="1" applyFill="1" applyAlignment="1">
      <alignment horizontal="center" vertical="center"/>
    </xf>
    <xf numFmtId="166" fontId="28" fillId="0" borderId="1" xfId="24" applyNumberFormat="1" applyFont="1" applyFill="1" applyBorder="1" applyAlignment="1">
      <alignment horizontal="right" vertical="center" wrapText="1"/>
    </xf>
    <xf numFmtId="165" fontId="12" fillId="0" borderId="1" xfId="24" applyFont="1" applyFill="1" applyBorder="1" applyAlignment="1">
      <alignment horizontal="right" vertical="center" wrapText="1"/>
    </xf>
    <xf numFmtId="0" fontId="12" fillId="2" borderId="7" xfId="3" applyNumberFormat="1" applyFont="1" applyFill="1" applyBorder="1" applyAlignment="1">
      <alignment horizontal="left" vertical="center" wrapText="1"/>
    </xf>
    <xf numFmtId="0" fontId="22" fillId="0" borderId="0" xfId="3" applyFont="1"/>
    <xf numFmtId="0" fontId="18" fillId="2" borderId="7" xfId="3" applyFont="1" applyFill="1" applyBorder="1" applyAlignment="1">
      <alignment horizontal="left" vertical="center" wrapText="1"/>
    </xf>
    <xf numFmtId="167" fontId="11" fillId="0" borderId="7" xfId="24" applyNumberFormat="1" applyFont="1" applyFill="1" applyBorder="1" applyAlignment="1">
      <alignment vertical="center" wrapText="1"/>
    </xf>
    <xf numFmtId="0" fontId="24" fillId="2" borderId="1" xfId="3" applyFont="1" applyFill="1" applyBorder="1" applyAlignment="1">
      <alignment horizontal="left" vertical="center" wrapText="1"/>
    </xf>
    <xf numFmtId="170" fontId="64" fillId="0" borderId="1" xfId="33" applyFont="1" applyFill="1" applyBorder="1" applyAlignment="1">
      <alignment horizontal="center" vertical="center" wrapText="1"/>
    </xf>
    <xf numFmtId="0" fontId="65" fillId="0" borderId="0" xfId="9" applyFont="1" applyAlignment="1">
      <alignment wrapText="1"/>
    </xf>
    <xf numFmtId="0" fontId="36" fillId="0" borderId="0" xfId="7" applyFont="1" applyFill="1" applyAlignment="1">
      <alignment horizontal="right"/>
    </xf>
    <xf numFmtId="0" fontId="32" fillId="0" borderId="0" xfId="0" applyFont="1" applyFill="1" applyAlignment="1">
      <alignment horizontal="right" vertical="center"/>
    </xf>
    <xf numFmtId="166" fontId="51" fillId="0" borderId="7" xfId="5" applyNumberFormat="1" applyFont="1" applyFill="1" applyBorder="1" applyAlignment="1">
      <alignment horizontal="left" vertical="center" wrapText="1"/>
    </xf>
    <xf numFmtId="172" fontId="40" fillId="0" borderId="7" xfId="5" applyNumberFormat="1" applyFont="1" applyFill="1" applyBorder="1" applyAlignment="1">
      <alignment vertical="center" wrapText="1"/>
    </xf>
    <xf numFmtId="168" fontId="16" fillId="0" borderId="6" xfId="1" applyNumberFormat="1" applyFont="1" applyFill="1" applyBorder="1" applyAlignment="1">
      <alignment vertical="center" wrapText="1"/>
    </xf>
    <xf numFmtId="168" fontId="16" fillId="0" borderId="22" xfId="3" applyNumberFormat="1" applyFont="1" applyFill="1" applyBorder="1" applyAlignment="1">
      <alignment vertical="center" wrapText="1"/>
    </xf>
    <xf numFmtId="168" fontId="11" fillId="0" borderId="3" xfId="1" applyNumberFormat="1" applyFont="1" applyFill="1" applyBorder="1" applyAlignment="1">
      <alignment horizontal="right" vertical="center" wrapText="1"/>
    </xf>
    <xf numFmtId="49" fontId="12" fillId="0" borderId="1" xfId="5" applyNumberFormat="1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left" vertical="center"/>
    </xf>
    <xf numFmtId="49" fontId="11" fillId="2" borderId="36" xfId="3" applyNumberFormat="1" applyFont="1" applyFill="1" applyBorder="1" applyAlignment="1">
      <alignment horizontal="center" vertical="center" wrapText="1"/>
    </xf>
    <xf numFmtId="0" fontId="11" fillId="2" borderId="36" xfId="3" applyFont="1" applyFill="1" applyBorder="1" applyAlignment="1">
      <alignment horizontal="center" vertical="center" wrapText="1"/>
    </xf>
    <xf numFmtId="166" fontId="12" fillId="0" borderId="37" xfId="24" applyNumberFormat="1" applyFont="1" applyFill="1" applyBorder="1" applyAlignment="1">
      <alignment horizontal="right" vertical="center" wrapText="1"/>
    </xf>
    <xf numFmtId="169" fontId="66" fillId="0" borderId="1" xfId="9" applyNumberFormat="1" applyFont="1" applyFill="1" applyBorder="1" applyAlignment="1">
      <alignment horizontal="center" vertical="center" wrapText="1"/>
    </xf>
    <xf numFmtId="0" fontId="28" fillId="2" borderId="1" xfId="3" applyFont="1" applyFill="1" applyBorder="1" applyAlignment="1">
      <alignment horizontal="left" vertical="center" wrapText="1"/>
    </xf>
    <xf numFmtId="167" fontId="26" fillId="0" borderId="1" xfId="24" applyNumberFormat="1" applyFont="1" applyFill="1" applyBorder="1" applyAlignment="1">
      <alignment horizontal="center" vertical="top" wrapText="1"/>
    </xf>
    <xf numFmtId="167" fontId="61" fillId="0" borderId="1" xfId="24" applyNumberFormat="1" applyFont="1" applyFill="1" applyBorder="1" applyAlignment="1">
      <alignment horizontal="center" vertical="center" wrapText="1"/>
    </xf>
    <xf numFmtId="172" fontId="12" fillId="0" borderId="1" xfId="5" applyNumberFormat="1" applyFont="1" applyFill="1" applyBorder="1" applyAlignment="1">
      <alignment horizontal="left" vertical="center" wrapText="1"/>
    </xf>
    <xf numFmtId="167" fontId="61" fillId="0" borderId="1" xfId="24" applyNumberFormat="1" applyFont="1" applyFill="1" applyBorder="1" applyAlignment="1">
      <alignment horizontal="right" vertical="center" wrapText="1"/>
    </xf>
    <xf numFmtId="0" fontId="12" fillId="0" borderId="1" xfId="9" applyFont="1" applyFill="1" applyBorder="1" applyAlignment="1">
      <alignment horizontal="left" vertical="center" wrapText="1"/>
    </xf>
    <xf numFmtId="166" fontId="56" fillId="0" borderId="1" xfId="24" applyNumberFormat="1" applyFont="1" applyFill="1" applyBorder="1" applyAlignment="1">
      <alignment horizontal="center" vertical="center" wrapText="1"/>
    </xf>
    <xf numFmtId="0" fontId="12" fillId="0" borderId="1" xfId="9" applyFont="1" applyBorder="1" applyAlignment="1">
      <alignment horizontal="left" vertical="center"/>
    </xf>
    <xf numFmtId="166" fontId="11" fillId="0" borderId="1" xfId="24" applyNumberFormat="1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center" vertical="center" wrapText="1"/>
    </xf>
    <xf numFmtId="169" fontId="12" fillId="2" borderId="1" xfId="3" applyNumberFormat="1" applyFont="1" applyFill="1" applyBorder="1" applyAlignment="1">
      <alignment horizontal="left" vertical="center" wrapText="1"/>
    </xf>
    <xf numFmtId="0" fontId="51" fillId="0" borderId="57" xfId="5" applyFont="1" applyFill="1" applyBorder="1" applyAlignment="1">
      <alignment horizontal="center" vertical="center"/>
    </xf>
    <xf numFmtId="174" fontId="50" fillId="0" borderId="1" xfId="5" applyNumberFormat="1" applyFont="1" applyFill="1" applyBorder="1" applyAlignment="1">
      <alignment horizontal="right" vertical="center" wrapText="1"/>
    </xf>
    <xf numFmtId="0" fontId="67" fillId="0" borderId="1" xfId="0" applyFont="1" applyBorder="1" applyAlignment="1">
      <alignment horizontal="left" vertical="center" wrapText="1"/>
    </xf>
    <xf numFmtId="0" fontId="12" fillId="0" borderId="1" xfId="3" applyFont="1" applyFill="1" applyBorder="1" applyAlignment="1">
      <alignment horizontal="center"/>
    </xf>
    <xf numFmtId="174" fontId="11" fillId="0" borderId="1" xfId="24" applyNumberFormat="1" applyFont="1" applyFill="1" applyBorder="1" applyAlignment="1">
      <alignment horizontal="right" vertical="center" wrapText="1"/>
    </xf>
    <xf numFmtId="0" fontId="12" fillId="0" borderId="2" xfId="3" applyFont="1" applyFill="1" applyBorder="1" applyAlignment="1">
      <alignment horizontal="left" vertical="center"/>
    </xf>
    <xf numFmtId="0" fontId="12" fillId="0" borderId="2" xfId="3" applyFont="1" applyFill="1" applyBorder="1" applyAlignment="1">
      <alignment horizontal="center"/>
    </xf>
    <xf numFmtId="0" fontId="12" fillId="0" borderId="2" xfId="3" applyFont="1" applyFill="1" applyBorder="1" applyAlignment="1">
      <alignment horizontal="center" vertical="center"/>
    </xf>
    <xf numFmtId="166" fontId="11" fillId="0" borderId="18" xfId="24" applyNumberFormat="1" applyFont="1" applyFill="1" applyBorder="1" applyAlignment="1">
      <alignment horizontal="right" vertical="center" wrapText="1"/>
    </xf>
    <xf numFmtId="168" fontId="15" fillId="0" borderId="2" xfId="3" applyNumberFormat="1" applyFont="1" applyFill="1" applyBorder="1" applyAlignment="1">
      <alignment horizontal="center" vertical="center" wrapText="1"/>
    </xf>
    <xf numFmtId="168" fontId="12" fillId="0" borderId="2" xfId="3" applyNumberFormat="1" applyFont="1" applyFill="1" applyBorder="1"/>
    <xf numFmtId="174" fontId="11" fillId="0" borderId="18" xfId="24" applyNumberFormat="1" applyFont="1" applyFill="1" applyBorder="1" applyAlignment="1">
      <alignment horizontal="right" vertical="center" wrapText="1"/>
    </xf>
    <xf numFmtId="0" fontId="12" fillId="0" borderId="1" xfId="9" applyFont="1" applyFill="1" applyBorder="1"/>
    <xf numFmtId="174" fontId="11" fillId="0" borderId="7" xfId="24" applyNumberFormat="1" applyFont="1" applyFill="1" applyBorder="1" applyAlignment="1">
      <alignment horizontal="right" vertical="center" wrapText="1"/>
    </xf>
    <xf numFmtId="166" fontId="16" fillId="0" borderId="7" xfId="25" applyNumberFormat="1" applyFont="1" applyFill="1" applyBorder="1" applyAlignment="1">
      <alignment horizontal="right" vertical="center" wrapText="1"/>
    </xf>
    <xf numFmtId="173" fontId="12" fillId="0" borderId="1" xfId="11" applyNumberFormat="1" applyFont="1" applyFill="1" applyBorder="1" applyAlignment="1" applyProtection="1">
      <alignment horizontal="left" vertical="center" wrapText="1"/>
    </xf>
    <xf numFmtId="49" fontId="11" fillId="0" borderId="1" xfId="3" applyNumberFormat="1" applyFont="1" applyFill="1" applyBorder="1" applyAlignment="1">
      <alignment horizontal="left" vertical="center" wrapText="1"/>
    </xf>
    <xf numFmtId="166" fontId="12" fillId="0" borderId="1" xfId="25" applyNumberFormat="1" applyFont="1" applyFill="1" applyBorder="1" applyAlignment="1">
      <alignment horizontal="left" vertical="center" wrapText="1"/>
    </xf>
    <xf numFmtId="0" fontId="9" fillId="0" borderId="0" xfId="3" applyFont="1" applyFill="1" applyBorder="1" applyAlignment="1">
      <alignment horizontal="left" vertical="center"/>
    </xf>
    <xf numFmtId="0" fontId="42" fillId="0" borderId="57" xfId="5" applyFont="1" applyFill="1" applyBorder="1" applyAlignment="1">
      <alignment horizontal="center" vertical="center"/>
    </xf>
    <xf numFmtId="172" fontId="50" fillId="0" borderId="1" xfId="5" applyNumberFormat="1" applyFont="1" applyFill="1" applyBorder="1" applyAlignment="1">
      <alignment horizontal="left" vertical="center" wrapText="1"/>
    </xf>
    <xf numFmtId="172" fontId="51" fillId="0" borderId="1" xfId="5" applyNumberFormat="1" applyFont="1" applyFill="1" applyBorder="1" applyAlignment="1">
      <alignment horizontal="left" vertical="center" wrapText="1"/>
    </xf>
    <xf numFmtId="0" fontId="12" fillId="0" borderId="1" xfId="3" applyFont="1" applyFill="1" applyBorder="1" applyAlignment="1">
      <alignment horizontal="left" vertical="center"/>
    </xf>
    <xf numFmtId="172" fontId="40" fillId="0" borderId="7" xfId="5" applyNumberFormat="1" applyFont="1" applyFill="1" applyBorder="1" applyAlignment="1">
      <alignment horizontal="left" vertical="center" wrapText="1" indent="2"/>
    </xf>
    <xf numFmtId="0" fontId="42" fillId="0" borderId="0" xfId="9" applyFont="1" applyFill="1" applyBorder="1" applyAlignment="1">
      <alignment wrapText="1"/>
    </xf>
    <xf numFmtId="172" fontId="42" fillId="0" borderId="7" xfId="5" applyNumberFormat="1" applyFont="1" applyFill="1" applyBorder="1" applyAlignment="1">
      <alignment vertical="center" wrapText="1"/>
    </xf>
    <xf numFmtId="166" fontId="42" fillId="0" borderId="1" xfId="5" applyNumberFormat="1" applyFont="1" applyFill="1" applyBorder="1" applyAlignment="1">
      <alignment horizontal="left" vertical="center" wrapText="1" indent="2"/>
    </xf>
    <xf numFmtId="49" fontId="42" fillId="0" borderId="1" xfId="3" applyNumberFormat="1" applyFont="1" applyFill="1" applyBorder="1" applyAlignment="1">
      <alignment horizontal="center" vertical="center" wrapText="1"/>
    </xf>
    <xf numFmtId="0" fontId="14" fillId="0" borderId="0" xfId="3" applyFont="1" applyFill="1"/>
    <xf numFmtId="166" fontId="14" fillId="0" borderId="0" xfId="24" applyNumberFormat="1" applyFont="1" applyFill="1" applyAlignment="1">
      <alignment horizontal="right"/>
    </xf>
    <xf numFmtId="172" fontId="51" fillId="0" borderId="7" xfId="5" applyNumberFormat="1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0" fontId="42" fillId="0" borderId="61" xfId="5" applyFont="1" applyFill="1" applyBorder="1" applyAlignment="1">
      <alignment horizontal="center" vertical="center"/>
    </xf>
    <xf numFmtId="0" fontId="42" fillId="0" borderId="62" xfId="8" applyFont="1" applyFill="1" applyBorder="1" applyAlignment="1">
      <alignment horizontal="left" vertical="center" wrapText="1"/>
    </xf>
    <xf numFmtId="49" fontId="42" fillId="0" borderId="62" xfId="5" applyNumberFormat="1" applyFont="1" applyFill="1" applyBorder="1" applyAlignment="1">
      <alignment horizontal="center" vertical="center" wrapText="1"/>
    </xf>
    <xf numFmtId="168" fontId="42" fillId="0" borderId="62" xfId="5" applyNumberFormat="1" applyFont="1" applyFill="1" applyBorder="1" applyAlignment="1">
      <alignment horizontal="right" vertical="center" wrapText="1"/>
    </xf>
    <xf numFmtId="168" fontId="42" fillId="0" borderId="63" xfId="5" applyNumberFormat="1" applyFont="1" applyFill="1" applyBorder="1" applyAlignment="1">
      <alignment horizontal="right" vertical="center" wrapText="1"/>
    </xf>
    <xf numFmtId="172" fontId="40" fillId="0" borderId="2" xfId="5" applyNumberFormat="1" applyFont="1" applyFill="1" applyBorder="1" applyAlignment="1">
      <alignment horizontal="left" vertical="center" wrapText="1" indent="2"/>
    </xf>
    <xf numFmtId="166" fontId="40" fillId="0" borderId="2" xfId="5" applyNumberFormat="1" applyFont="1" applyFill="1" applyBorder="1" applyAlignment="1">
      <alignment horizontal="left" vertical="center" wrapText="1" indent="2"/>
    </xf>
    <xf numFmtId="49" fontId="40" fillId="0" borderId="2" xfId="5" applyNumberFormat="1" applyFont="1" applyFill="1" applyBorder="1" applyAlignment="1">
      <alignment horizontal="center" vertical="center" wrapText="1"/>
    </xf>
    <xf numFmtId="168" fontId="40" fillId="0" borderId="2" xfId="5" applyNumberFormat="1" applyFont="1" applyFill="1" applyBorder="1" applyAlignment="1">
      <alignment horizontal="right" vertical="center" wrapText="1"/>
    </xf>
    <xf numFmtId="168" fontId="40" fillId="0" borderId="20" xfId="5" applyNumberFormat="1" applyFont="1" applyFill="1" applyBorder="1" applyAlignment="1">
      <alignment horizontal="right" vertical="center" wrapText="1"/>
    </xf>
    <xf numFmtId="172" fontId="40" fillId="0" borderId="2" xfId="5" applyNumberFormat="1" applyFont="1" applyFill="1" applyBorder="1" applyAlignment="1">
      <alignment horizontal="left" vertical="center" wrapText="1"/>
    </xf>
    <xf numFmtId="166" fontId="40" fillId="0" borderId="2" xfId="5" applyNumberFormat="1" applyFont="1" applyFill="1" applyBorder="1" applyAlignment="1">
      <alignment horizontal="left" vertical="center" wrapText="1"/>
    </xf>
    <xf numFmtId="0" fontId="40" fillId="0" borderId="5" xfId="5" applyFont="1" applyFill="1" applyBorder="1" applyAlignment="1">
      <alignment vertical="center"/>
    </xf>
    <xf numFmtId="168" fontId="45" fillId="0" borderId="4" xfId="5" applyNumberFormat="1" applyFont="1" applyFill="1" applyBorder="1" applyAlignment="1">
      <alignment horizontal="right" vertical="center" wrapText="1"/>
    </xf>
    <xf numFmtId="0" fontId="41" fillId="0" borderId="15" xfId="3" applyFont="1" applyFill="1" applyBorder="1" applyAlignment="1">
      <alignment vertical="top" wrapText="1"/>
    </xf>
    <xf numFmtId="0" fontId="41" fillId="0" borderId="7" xfId="3" applyFont="1" applyFill="1" applyBorder="1" applyAlignment="1">
      <alignment vertical="top" wrapText="1"/>
    </xf>
    <xf numFmtId="166" fontId="16" fillId="0" borderId="7" xfId="25" applyNumberFormat="1" applyFont="1" applyFill="1" applyBorder="1" applyAlignment="1">
      <alignment horizontal="center" vertical="center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3" fillId="0" borderId="7" xfId="25" applyNumberFormat="1" applyFont="1" applyFill="1" applyBorder="1" applyAlignment="1">
      <alignment horizontal="right" vertical="center" wrapText="1"/>
    </xf>
    <xf numFmtId="49" fontId="16" fillId="0" borderId="7" xfId="3" applyNumberFormat="1" applyFont="1" applyFill="1" applyBorder="1" applyAlignment="1">
      <alignment vertical="center" wrapText="1"/>
    </xf>
    <xf numFmtId="166" fontId="13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2" fillId="0" borderId="7" xfId="31" applyNumberFormat="1" applyFont="1" applyFill="1" applyBorder="1" applyAlignment="1">
      <alignment horizontal="left" vertical="center" wrapText="1"/>
    </xf>
    <xf numFmtId="167" fontId="11" fillId="0" borderId="18" xfId="25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vertical="center" wrapText="1"/>
    </xf>
    <xf numFmtId="167" fontId="16" fillId="0" borderId="7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vertical="center" wrapText="1"/>
    </xf>
    <xf numFmtId="168" fontId="16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3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left" vertical="center" wrapText="1"/>
    </xf>
    <xf numFmtId="168" fontId="16" fillId="0" borderId="7" xfId="25" applyNumberFormat="1" applyFont="1" applyFill="1" applyBorder="1" applyAlignment="1">
      <alignment horizontal="right" vertical="center" wrapText="1"/>
    </xf>
    <xf numFmtId="166" fontId="13" fillId="0" borderId="7" xfId="25" applyNumberFormat="1" applyFont="1" applyFill="1" applyBorder="1" applyAlignment="1">
      <alignment horizontal="right"/>
    </xf>
    <xf numFmtId="166" fontId="12" fillId="0" borderId="7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9" fillId="0" borderId="2" xfId="25" applyNumberFormat="1" applyFont="1" applyFill="1" applyBorder="1" applyAlignment="1">
      <alignment horizontal="right"/>
    </xf>
    <xf numFmtId="166" fontId="14" fillId="0" borderId="2" xfId="25" applyNumberFormat="1" applyFont="1" applyFill="1" applyBorder="1" applyAlignment="1">
      <alignment horizontal="right"/>
    </xf>
    <xf numFmtId="166" fontId="16" fillId="0" borderId="26" xfId="25" applyNumberFormat="1" applyFont="1" applyFill="1" applyBorder="1" applyAlignment="1">
      <alignment horizontal="center" vertical="center"/>
    </xf>
    <xf numFmtId="166" fontId="9" fillId="0" borderId="27" xfId="25" applyNumberFormat="1" applyFont="1" applyFill="1" applyBorder="1" applyAlignment="1">
      <alignment horizontal="right"/>
    </xf>
    <xf numFmtId="166" fontId="16" fillId="0" borderId="25" xfId="25" applyNumberFormat="1" applyFont="1" applyFill="1" applyBorder="1" applyAlignment="1">
      <alignment horizontal="center" vertical="center"/>
    </xf>
    <xf numFmtId="166" fontId="9" fillId="0" borderId="0" xfId="25" applyNumberFormat="1" applyFont="1" applyFill="1" applyBorder="1" applyAlignment="1">
      <alignment horizontal="right"/>
    </xf>
    <xf numFmtId="168" fontId="16" fillId="0" borderId="6" xfId="25" applyNumberFormat="1" applyFont="1" applyFill="1" applyBorder="1" applyAlignment="1">
      <alignment horizontal="right" vertical="center"/>
    </xf>
    <xf numFmtId="167" fontId="16" fillId="0" borderId="6" xfId="25" applyNumberFormat="1" applyFont="1" applyFill="1" applyBorder="1" applyAlignment="1">
      <alignment horizontal="center" vertical="center"/>
    </xf>
    <xf numFmtId="167" fontId="16" fillId="0" borderId="6" xfId="25" applyNumberFormat="1" applyFont="1" applyFill="1" applyBorder="1" applyAlignment="1">
      <alignment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7" fontId="13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6" fontId="16" fillId="0" borderId="9" xfId="25" applyNumberFormat="1" applyFont="1" applyFill="1" applyBorder="1" applyAlignment="1">
      <alignment horizontal="right" vertical="center" wrapText="1"/>
    </xf>
    <xf numFmtId="0" fontId="20" fillId="0" borderId="8" xfId="31" applyFont="1" applyFill="1" applyBorder="1" applyAlignment="1">
      <alignment horizontal="left" vertical="center" wrapText="1"/>
    </xf>
    <xf numFmtId="49" fontId="16" fillId="0" borderId="9" xfId="3" applyNumberFormat="1" applyFont="1" applyFill="1" applyBorder="1" applyAlignment="1">
      <alignment vertical="center" wrapText="1"/>
    </xf>
    <xf numFmtId="166" fontId="13" fillId="0" borderId="9" xfId="25" applyNumberFormat="1" applyFont="1" applyFill="1" applyBorder="1" applyAlignment="1">
      <alignment horizontal="right"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1" fillId="0" borderId="6" xfId="25" applyNumberFormat="1" applyFont="1" applyFill="1" applyBorder="1" applyAlignment="1">
      <alignment horizontal="right" vertical="center" wrapText="1"/>
    </xf>
    <xf numFmtId="167" fontId="11" fillId="0" borderId="9" xfId="1" applyNumberFormat="1" applyFont="1" applyFill="1" applyBorder="1" applyAlignment="1">
      <alignment horizontal="right" vertical="center" wrapText="1"/>
    </xf>
    <xf numFmtId="167" fontId="12" fillId="0" borderId="9" xfId="31" applyNumberFormat="1" applyFont="1" applyFill="1" applyBorder="1" applyAlignment="1">
      <alignment horizontal="left" vertical="center" wrapText="1"/>
    </xf>
    <xf numFmtId="167" fontId="11" fillId="0" borderId="20" xfId="25" applyNumberFormat="1" applyFont="1" applyFill="1" applyBorder="1" applyAlignment="1">
      <alignment horizontal="right" vertical="center" wrapText="1"/>
    </xf>
    <xf numFmtId="167" fontId="16" fillId="0" borderId="9" xfId="25" applyNumberFormat="1" applyFont="1" applyFill="1" applyBorder="1" applyAlignment="1">
      <alignment horizontal="right" vertical="center" wrapText="1"/>
    </xf>
    <xf numFmtId="49" fontId="11" fillId="0" borderId="9" xfId="3" applyNumberFormat="1" applyFont="1" applyFill="1" applyBorder="1" applyAlignment="1">
      <alignment vertical="center" wrapText="1"/>
    </xf>
    <xf numFmtId="168" fontId="16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3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6" fillId="0" borderId="9" xfId="25" applyNumberFormat="1" applyFont="1" applyFill="1" applyBorder="1" applyAlignment="1">
      <alignment horizontal="right" vertical="center" wrapText="1"/>
    </xf>
    <xf numFmtId="178" fontId="9" fillId="0" borderId="0" xfId="3" applyNumberFormat="1" applyFont="1" applyFill="1" applyBorder="1"/>
    <xf numFmtId="166" fontId="12" fillId="0" borderId="9" xfId="24" applyNumberFormat="1" applyFont="1" applyFill="1" applyBorder="1" applyAlignment="1">
      <alignment horizontal="right"/>
    </xf>
    <xf numFmtId="0" fontId="19" fillId="0" borderId="11" xfId="3" applyFont="1" applyFill="1" applyBorder="1"/>
    <xf numFmtId="0" fontId="9" fillId="0" borderId="11" xfId="3" applyFont="1" applyFill="1" applyBorder="1"/>
    <xf numFmtId="167" fontId="11" fillId="0" borderId="9" xfId="25" applyNumberFormat="1" applyFont="1" applyFill="1" applyBorder="1" applyAlignment="1">
      <alignment vertical="center" wrapText="1"/>
    </xf>
    <xf numFmtId="167" fontId="16" fillId="0" borderId="17" xfId="25" applyNumberFormat="1" applyFont="1" applyFill="1" applyBorder="1" applyAlignment="1">
      <alignment vertical="center" wrapText="1"/>
    </xf>
    <xf numFmtId="167" fontId="11" fillId="0" borderId="17" xfId="25" applyNumberFormat="1" applyFont="1" applyFill="1" applyBorder="1" applyAlignment="1">
      <alignment vertical="center" wrapText="1"/>
    </xf>
    <xf numFmtId="166" fontId="13" fillId="0" borderId="9" xfId="25" applyNumberFormat="1" applyFont="1" applyFill="1" applyBorder="1" applyAlignment="1">
      <alignment horizontal="right"/>
    </xf>
    <xf numFmtId="166" fontId="12" fillId="0" borderId="9" xfId="25" applyNumberFormat="1" applyFont="1" applyFill="1" applyBorder="1" applyAlignment="1">
      <alignment horizontal="right"/>
    </xf>
    <xf numFmtId="0" fontId="9" fillId="0" borderId="8" xfId="3" applyFont="1" applyFill="1" applyBorder="1" applyAlignment="1">
      <alignment horizontal="left" vertical="center"/>
    </xf>
    <xf numFmtId="166" fontId="16" fillId="0" borderId="6" xfId="25" applyNumberFormat="1" applyFont="1" applyFill="1" applyBorder="1" applyAlignment="1">
      <alignment horizontal="right" vertical="center" wrapText="1"/>
    </xf>
    <xf numFmtId="168" fontId="42" fillId="0" borderId="7" xfId="5" applyNumberFormat="1" applyFont="1" applyFill="1" applyBorder="1" applyAlignment="1">
      <alignment horizontal="right" vertical="center" wrapText="1"/>
    </xf>
    <xf numFmtId="0" fontId="50" fillId="0" borderId="8" xfId="5" applyFont="1" applyFill="1" applyBorder="1" applyAlignment="1">
      <alignment horizontal="center" vertical="center"/>
    </xf>
    <xf numFmtId="0" fontId="50" fillId="0" borderId="57" xfId="5" applyFont="1" applyFill="1" applyBorder="1" applyAlignment="1">
      <alignment horizontal="center" vertical="center"/>
    </xf>
    <xf numFmtId="0" fontId="12" fillId="0" borderId="8" xfId="3" applyFont="1" applyFill="1" applyBorder="1"/>
    <xf numFmtId="0" fontId="12" fillId="0" borderId="21" xfId="3" applyFont="1" applyFill="1" applyBorder="1"/>
    <xf numFmtId="168" fontId="42" fillId="0" borderId="28" xfId="5" applyNumberFormat="1" applyFont="1" applyFill="1" applyBorder="1" applyAlignment="1">
      <alignment horizontal="center" vertical="center" wrapText="1"/>
    </xf>
    <xf numFmtId="168" fontId="14" fillId="0" borderId="15" xfId="5" applyNumberFormat="1" applyFont="1" applyFill="1" applyBorder="1" applyAlignment="1">
      <alignment horizontal="right" vertical="center" wrapText="1"/>
    </xf>
    <xf numFmtId="168" fontId="42" fillId="0" borderId="60" xfId="5" applyNumberFormat="1" applyFont="1" applyFill="1" applyBorder="1" applyAlignment="1">
      <alignment horizontal="right" vertical="center" wrapText="1"/>
    </xf>
    <xf numFmtId="168" fontId="42" fillId="0" borderId="18" xfId="5" applyNumberFormat="1" applyFont="1" applyFill="1" applyBorder="1" applyAlignment="1">
      <alignment horizontal="right" vertical="center" wrapText="1"/>
    </xf>
    <xf numFmtId="168" fontId="42" fillId="0" borderId="7" xfId="5" applyNumberFormat="1" applyFont="1" applyFill="1" applyBorder="1" applyAlignment="1">
      <alignment horizontal="right" vertical="center"/>
    </xf>
    <xf numFmtId="168" fontId="40" fillId="0" borderId="7" xfId="5" applyNumberFormat="1" applyFont="1" applyFill="1" applyBorder="1" applyAlignment="1">
      <alignment horizontal="right" vertical="center"/>
    </xf>
    <xf numFmtId="168" fontId="40" fillId="0" borderId="15" xfId="5" applyNumberFormat="1" applyFont="1" applyFill="1" applyBorder="1" applyAlignment="1">
      <alignment horizontal="right" vertical="center"/>
    </xf>
    <xf numFmtId="168" fontId="42" fillId="0" borderId="7" xfId="14" applyNumberFormat="1" applyFont="1" applyFill="1" applyBorder="1" applyAlignment="1">
      <alignment horizontal="right" vertical="center"/>
    </xf>
    <xf numFmtId="168" fontId="40" fillId="0" borderId="7" xfId="14" applyNumberFormat="1" applyFont="1" applyFill="1" applyBorder="1" applyAlignment="1">
      <alignment horizontal="right" vertical="center"/>
    </xf>
    <xf numFmtId="168" fontId="42" fillId="0" borderId="9" xfId="14" applyNumberFormat="1" applyFont="1" applyFill="1" applyBorder="1" applyAlignment="1">
      <alignment horizontal="right" vertical="center"/>
    </xf>
    <xf numFmtId="0" fontId="42" fillId="0" borderId="1" xfId="8" applyFont="1" applyFill="1" applyBorder="1" applyAlignment="1">
      <alignment horizontal="left" vertical="center" wrapText="1"/>
    </xf>
    <xf numFmtId="172" fontId="40" fillId="0" borderId="1" xfId="5" applyNumberFormat="1" applyFont="1" applyFill="1" applyBorder="1" applyAlignment="1">
      <alignment vertical="center" wrapText="1"/>
    </xf>
    <xf numFmtId="0" fontId="9" fillId="0" borderId="35" xfId="5" applyFont="1" applyFill="1" applyBorder="1" applyAlignment="1">
      <alignment horizontal="center" vertical="center"/>
    </xf>
    <xf numFmtId="172" fontId="14" fillId="0" borderId="36" xfId="5" applyNumberFormat="1" applyFont="1" applyFill="1" applyBorder="1" applyAlignment="1">
      <alignment horizontal="left" vertical="center" wrapText="1"/>
    </xf>
    <xf numFmtId="166" fontId="14" fillId="0" borderId="36" xfId="5" applyNumberFormat="1" applyFont="1" applyFill="1" applyBorder="1" applyAlignment="1">
      <alignment horizontal="left" vertical="center" wrapText="1"/>
    </xf>
    <xf numFmtId="49" fontId="14" fillId="0" borderId="36" xfId="5" applyNumberFormat="1" applyFont="1" applyFill="1" applyBorder="1" applyAlignment="1">
      <alignment horizontal="center" vertical="center" wrapText="1"/>
    </xf>
    <xf numFmtId="168" fontId="14" fillId="0" borderId="37" xfId="5" applyNumberFormat="1" applyFont="1" applyFill="1" applyBorder="1" applyAlignment="1">
      <alignment horizontal="right" vertical="center" wrapText="1"/>
    </xf>
    <xf numFmtId="0" fontId="42" fillId="0" borderId="33" xfId="5" applyFont="1" applyFill="1" applyBorder="1" applyAlignment="1">
      <alignment horizontal="center" vertical="center" wrapText="1"/>
    </xf>
    <xf numFmtId="172" fontId="42" fillId="0" borderId="32" xfId="5" applyNumberFormat="1" applyFont="1" applyFill="1" applyBorder="1" applyAlignment="1">
      <alignment horizontal="center" vertical="center" wrapText="1"/>
    </xf>
    <xf numFmtId="166" fontId="42" fillId="0" borderId="32" xfId="5" applyNumberFormat="1" applyFont="1" applyFill="1" applyBorder="1" applyAlignment="1">
      <alignment horizontal="center" vertical="center" wrapText="1"/>
    </xf>
    <xf numFmtId="168" fontId="42" fillId="0" borderId="31" xfId="5" applyNumberFormat="1" applyFont="1" applyFill="1" applyBorder="1" applyAlignment="1">
      <alignment horizontal="center" vertical="center" wrapText="1"/>
    </xf>
    <xf numFmtId="168" fontId="9" fillId="0" borderId="9" xfId="3" applyNumberFormat="1" applyFont="1" applyFill="1" applyBorder="1"/>
    <xf numFmtId="175" fontId="55" fillId="0" borderId="43" xfId="26" applyNumberFormat="1" applyFont="1" applyFill="1" applyBorder="1" applyAlignment="1">
      <alignment horizontal="center"/>
    </xf>
    <xf numFmtId="0" fontId="36" fillId="0" borderId="0" xfId="7" applyFont="1" applyFill="1" applyAlignment="1">
      <alignment horizontal="center"/>
    </xf>
    <xf numFmtId="0" fontId="36" fillId="0" borderId="0" xfId="7" applyFont="1" applyFill="1" applyAlignment="1">
      <alignment horizontal="right"/>
    </xf>
    <xf numFmtId="0" fontId="32" fillId="0" borderId="0" xfId="9" applyFont="1" applyFill="1" applyAlignment="1">
      <alignment horizontal="right" vertical="center"/>
    </xf>
    <xf numFmtId="0" fontId="32" fillId="0" borderId="0" xfId="0" applyFont="1" applyFill="1" applyAlignment="1">
      <alignment horizontal="right" vertical="center"/>
    </xf>
    <xf numFmtId="0" fontId="9" fillId="0" borderId="0" xfId="9" applyFill="1" applyAlignment="1">
      <alignment horizontal="right" vertical="center"/>
    </xf>
    <xf numFmtId="0" fontId="8" fillId="0" borderId="0" xfId="7" applyFont="1" applyFill="1"/>
    <xf numFmtId="168" fontId="53" fillId="0" borderId="0" xfId="25" applyNumberFormat="1" applyFont="1" applyFill="1" applyAlignment="1"/>
    <xf numFmtId="0" fontId="32" fillId="0" borderId="0" xfId="0" applyFont="1" applyFill="1" applyAlignment="1">
      <alignment horizontal="center" vertical="center"/>
    </xf>
    <xf numFmtId="0" fontId="8" fillId="0" borderId="0" xfId="7" applyFill="1" applyAlignment="1"/>
    <xf numFmtId="168" fontId="53" fillId="0" borderId="2" xfId="25" applyNumberFormat="1" applyFont="1" applyFill="1" applyBorder="1" applyAlignment="1"/>
    <xf numFmtId="168" fontId="53" fillId="0" borderId="2" xfId="7" applyNumberFormat="1" applyFont="1" applyFill="1" applyBorder="1" applyAlignment="1"/>
    <xf numFmtId="168" fontId="53" fillId="0" borderId="1" xfId="25" applyNumberFormat="1" applyFont="1" applyFill="1" applyBorder="1" applyAlignment="1"/>
    <xf numFmtId="174" fontId="53" fillId="0" borderId="1" xfId="7" applyNumberFormat="1" applyFont="1" applyFill="1" applyBorder="1" applyAlignment="1"/>
    <xf numFmtId="174" fontId="53" fillId="0" borderId="1" xfId="25" applyNumberFormat="1" applyFont="1" applyFill="1" applyBorder="1" applyAlignment="1"/>
    <xf numFmtId="168" fontId="53" fillId="0" borderId="28" xfId="25" applyNumberFormat="1" applyFont="1" applyFill="1" applyBorder="1" applyAlignment="1"/>
    <xf numFmtId="168" fontId="53" fillId="0" borderId="26" xfId="25" applyNumberFormat="1" applyFont="1" applyFill="1" applyBorder="1" applyAlignment="1"/>
    <xf numFmtId="174" fontId="53" fillId="0" borderId="25" xfId="25" applyNumberFormat="1" applyFont="1" applyFill="1" applyBorder="1" applyAlignment="1"/>
    <xf numFmtId="168" fontId="53" fillId="0" borderId="1" xfId="7" applyNumberFormat="1" applyFont="1" applyFill="1" applyBorder="1" applyAlignment="1"/>
    <xf numFmtId="0" fontId="67" fillId="0" borderId="1" xfId="0" applyFont="1" applyFill="1" applyBorder="1" applyAlignment="1">
      <alignment horizontal="left" vertical="center" wrapText="1"/>
    </xf>
    <xf numFmtId="172" fontId="42" fillId="0" borderId="1" xfId="5" applyNumberFormat="1" applyFont="1" applyFill="1" applyBorder="1" applyAlignment="1">
      <alignment horizontal="left" vertical="center" wrapText="1" indent="2"/>
    </xf>
    <xf numFmtId="168" fontId="59" fillId="0" borderId="0" xfId="3" applyNumberFormat="1" applyFont="1" applyFill="1"/>
    <xf numFmtId="0" fontId="59" fillId="0" borderId="0" xfId="3" applyFont="1" applyFill="1" applyBorder="1"/>
    <xf numFmtId="168" fontId="59" fillId="0" borderId="0" xfId="3" applyNumberFormat="1" applyFont="1" applyFill="1" applyBorder="1"/>
    <xf numFmtId="49" fontId="15" fillId="0" borderId="7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/>
    </xf>
    <xf numFmtId="166" fontId="13" fillId="0" borderId="20" xfId="25" applyNumberFormat="1" applyFont="1" applyFill="1" applyBorder="1" applyAlignment="1">
      <alignment horizontal="right"/>
    </xf>
    <xf numFmtId="0" fontId="9" fillId="0" borderId="4" xfId="3" applyFont="1" applyFill="1" applyBorder="1" applyAlignment="1">
      <alignment horizontal="left" vertical="center"/>
    </xf>
    <xf numFmtId="0" fontId="9" fillId="0" borderId="4" xfId="3" applyFont="1" applyFill="1" applyBorder="1" applyAlignment="1">
      <alignment horizontal="center"/>
    </xf>
    <xf numFmtId="0" fontId="9" fillId="0" borderId="4" xfId="3" applyFont="1" applyFill="1" applyBorder="1" applyAlignment="1">
      <alignment horizontal="center" vertical="center"/>
    </xf>
    <xf numFmtId="49" fontId="12" fillId="0" borderId="4" xfId="3" applyNumberFormat="1" applyFont="1" applyFill="1" applyBorder="1" applyAlignment="1" applyProtection="1">
      <alignment horizontal="center" vertical="center" wrapText="1"/>
    </xf>
    <xf numFmtId="166" fontId="11" fillId="0" borderId="4" xfId="25" applyNumberFormat="1" applyFont="1" applyFill="1" applyBorder="1" applyAlignment="1">
      <alignment horizontal="right" vertical="center" wrapText="1"/>
    </xf>
    <xf numFmtId="166" fontId="9" fillId="0" borderId="4" xfId="25" applyNumberFormat="1" applyFont="1" applyFill="1" applyBorder="1" applyAlignment="1">
      <alignment horizontal="right"/>
    </xf>
    <xf numFmtId="166" fontId="11" fillId="0" borderId="3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/>
    </xf>
    <xf numFmtId="168" fontId="13" fillId="0" borderId="20" xfId="1" applyNumberFormat="1" applyFont="1" applyFill="1" applyBorder="1" applyAlignment="1">
      <alignment horizontal="right"/>
    </xf>
    <xf numFmtId="166" fontId="11" fillId="0" borderId="4" xfId="1" applyNumberFormat="1" applyFont="1" applyFill="1" applyBorder="1" applyAlignment="1">
      <alignment horizontal="right" vertical="center" wrapText="1"/>
    </xf>
    <xf numFmtId="166" fontId="9" fillId="0" borderId="4" xfId="1" applyNumberFormat="1" applyFont="1" applyFill="1" applyBorder="1" applyAlignment="1">
      <alignment horizontal="right"/>
    </xf>
    <xf numFmtId="168" fontId="53" fillId="0" borderId="1" xfId="25" applyNumberFormat="1" applyFont="1" applyFill="1" applyBorder="1" applyAlignment="1"/>
    <xf numFmtId="43" fontId="53" fillId="0" borderId="45" xfId="26" applyFont="1" applyFill="1" applyBorder="1" applyAlignment="1">
      <alignment horizontal="center"/>
    </xf>
    <xf numFmtId="43" fontId="53" fillId="0" borderId="47" xfId="26" applyFont="1" applyFill="1" applyBorder="1" applyAlignment="1">
      <alignment horizontal="center"/>
    </xf>
    <xf numFmtId="168" fontId="53" fillId="0" borderId="1" xfId="7" applyNumberFormat="1" applyFont="1" applyFill="1" applyBorder="1" applyAlignment="1"/>
    <xf numFmtId="0" fontId="9" fillId="0" borderId="1" xfId="3" applyFont="1" applyFill="1" applyBorder="1" applyAlignment="1">
      <alignment horizontal="center"/>
    </xf>
    <xf numFmtId="167" fontId="9" fillId="0" borderId="0" xfId="3" applyNumberFormat="1" applyFont="1" applyFill="1" applyBorder="1"/>
    <xf numFmtId="171" fontId="19" fillId="0" borderId="0" xfId="3" applyNumberFormat="1" applyFont="1" applyFill="1" applyBorder="1"/>
    <xf numFmtId="0" fontId="12" fillId="6" borderId="1" xfId="3" applyFont="1" applyFill="1" applyBorder="1" applyAlignment="1">
      <alignment horizontal="center" vertical="center"/>
    </xf>
    <xf numFmtId="49" fontId="12" fillId="6" borderId="1" xfId="3" applyNumberFormat="1" applyFont="1" applyFill="1" applyBorder="1" applyAlignment="1">
      <alignment horizontal="center" vertical="center" wrapText="1"/>
    </xf>
    <xf numFmtId="49" fontId="11" fillId="6" borderId="1" xfId="3" applyNumberFormat="1" applyFont="1" applyFill="1" applyBorder="1" applyAlignment="1">
      <alignment horizontal="center" vertical="center" wrapText="1"/>
    </xf>
    <xf numFmtId="49" fontId="11" fillId="6" borderId="1" xfId="25" applyNumberFormat="1" applyFont="1" applyFill="1" applyBorder="1" applyAlignment="1">
      <alignment horizontal="right" vertical="center" wrapText="1"/>
    </xf>
    <xf numFmtId="166" fontId="11" fillId="6" borderId="1" xfId="25" applyNumberFormat="1" applyFont="1" applyFill="1" applyBorder="1" applyAlignment="1">
      <alignment horizontal="right" vertical="center" wrapText="1"/>
    </xf>
    <xf numFmtId="49" fontId="12" fillId="6" borderId="7" xfId="3" applyNumberFormat="1" applyFont="1" applyFill="1" applyBorder="1" applyAlignment="1">
      <alignment horizontal="right" vertical="center" wrapText="1"/>
    </xf>
    <xf numFmtId="168" fontId="15" fillId="6" borderId="1" xfId="3" applyNumberFormat="1" applyFont="1" applyFill="1" applyBorder="1" applyAlignment="1">
      <alignment horizontal="center" vertical="center" wrapText="1"/>
    </xf>
    <xf numFmtId="168" fontId="12" fillId="6" borderId="1" xfId="3" applyNumberFormat="1" applyFont="1" applyFill="1" applyBorder="1"/>
    <xf numFmtId="168" fontId="12" fillId="6" borderId="7" xfId="3" applyNumberFormat="1" applyFont="1" applyFill="1" applyBorder="1" applyAlignment="1">
      <alignment horizontal="right" vertical="center" wrapText="1"/>
    </xf>
    <xf numFmtId="0" fontId="25" fillId="0" borderId="0" xfId="27" applyFont="1" applyAlignment="1">
      <alignment horizontal="center" wrapText="1"/>
    </xf>
    <xf numFmtId="166" fontId="13" fillId="0" borderId="1" xfId="27" applyNumberFormat="1" applyFont="1" applyFill="1" applyBorder="1" applyAlignment="1">
      <alignment horizontal="center"/>
    </xf>
    <xf numFmtId="0" fontId="9" fillId="6" borderId="8" xfId="3" applyFont="1" applyFill="1" applyBorder="1"/>
    <xf numFmtId="0" fontId="12" fillId="6" borderId="1" xfId="0" applyFont="1" applyFill="1" applyBorder="1"/>
    <xf numFmtId="49" fontId="15" fillId="6" borderId="7" xfId="3" applyNumberFormat="1" applyFont="1" applyFill="1" applyBorder="1" applyAlignment="1">
      <alignment horizontal="center" vertical="center" wrapText="1"/>
    </xf>
    <xf numFmtId="0" fontId="11" fillId="6" borderId="1" xfId="3" applyFont="1" applyFill="1" applyBorder="1" applyAlignment="1">
      <alignment horizontal="left" vertical="center" wrapText="1"/>
    </xf>
    <xf numFmtId="0" fontId="18" fillId="6" borderId="7" xfId="3" applyFont="1" applyFill="1" applyBorder="1" applyAlignment="1">
      <alignment horizontal="left" vertical="center" wrapText="1"/>
    </xf>
    <xf numFmtId="0" fontId="70" fillId="0" borderId="1" xfId="4" applyFont="1" applyFill="1" applyBorder="1" applyAlignment="1">
      <alignment horizontal="left" vertical="center" wrapText="1"/>
    </xf>
    <xf numFmtId="0" fontId="51" fillId="0" borderId="1" xfId="0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72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168" fontId="16" fillId="0" borderId="1" xfId="0" applyNumberFormat="1" applyFont="1" applyFill="1" applyBorder="1" applyAlignment="1">
      <alignment horizontal="right" vertical="center" wrapText="1"/>
    </xf>
    <xf numFmtId="168" fontId="11" fillId="0" borderId="1" xfId="0" applyNumberFormat="1" applyFont="1" applyFill="1" applyBorder="1" applyAlignment="1">
      <alignment horizontal="right" vertical="center" wrapText="1"/>
    </xf>
    <xf numFmtId="0" fontId="12" fillId="7" borderId="7" xfId="4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horizontal="center" vertical="center" wrapText="1"/>
    </xf>
    <xf numFmtId="168" fontId="11" fillId="0" borderId="64" xfId="0" applyNumberFormat="1" applyFont="1" applyFill="1" applyBorder="1" applyAlignment="1">
      <alignment horizontal="right" vertical="center" wrapText="1"/>
    </xf>
    <xf numFmtId="0" fontId="12" fillId="0" borderId="4" xfId="3" applyFont="1" applyFill="1" applyBorder="1" applyAlignment="1">
      <alignment horizontal="left" vertical="center"/>
    </xf>
    <xf numFmtId="0" fontId="9" fillId="0" borderId="64" xfId="3" applyFont="1" applyFill="1" applyBorder="1"/>
    <xf numFmtId="0" fontId="12" fillId="7" borderId="18" xfId="4" applyFont="1" applyFill="1" applyBorder="1" applyAlignment="1">
      <alignment horizontal="left" vertical="center" wrapText="1"/>
    </xf>
    <xf numFmtId="49" fontId="16" fillId="0" borderId="2" xfId="3" applyNumberFormat="1" applyFont="1" applyFill="1" applyBorder="1" applyAlignment="1">
      <alignment horizontal="center" vertical="center" wrapText="1"/>
    </xf>
    <xf numFmtId="167" fontId="16" fillId="0" borderId="20" xfId="25" applyNumberFormat="1" applyFont="1" applyFill="1" applyBorder="1" applyAlignment="1">
      <alignment horizontal="right" vertical="center" wrapText="1"/>
    </xf>
    <xf numFmtId="167" fontId="16" fillId="0" borderId="9" xfId="1" applyNumberFormat="1" applyFont="1" applyFill="1" applyBorder="1" applyAlignment="1">
      <alignment horizontal="right" vertical="center" wrapText="1"/>
    </xf>
    <xf numFmtId="0" fontId="12" fillId="0" borderId="13" xfId="3" applyFont="1" applyFill="1" applyBorder="1" applyAlignment="1"/>
    <xf numFmtId="0" fontId="51" fillId="0" borderId="1" xfId="3" applyFont="1" applyFill="1" applyBorder="1" applyAlignment="1">
      <alignment horizontal="center" vertical="top" wrapText="1"/>
    </xf>
    <xf numFmtId="170" fontId="51" fillId="0" borderId="1" xfId="33" applyFont="1" applyFill="1" applyBorder="1" applyAlignment="1">
      <alignment horizontal="center" vertical="center" wrapText="1"/>
    </xf>
    <xf numFmtId="0" fontId="13" fillId="0" borderId="13" xfId="3" applyFont="1" applyFill="1" applyBorder="1" applyAlignment="1">
      <alignment horizontal="left" wrapText="1"/>
    </xf>
    <xf numFmtId="166" fontId="12" fillId="0" borderId="1" xfId="3" applyNumberFormat="1" applyFont="1" applyFill="1" applyBorder="1" applyAlignment="1">
      <alignment horizontal="right" wrapText="1"/>
    </xf>
    <xf numFmtId="0" fontId="12" fillId="0" borderId="13" xfId="3" applyFont="1" applyBorder="1" applyAlignment="1">
      <alignment vertical="center" wrapText="1"/>
    </xf>
    <xf numFmtId="0" fontId="12" fillId="0" borderId="1" xfId="3" applyFont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center" vertical="center"/>
    </xf>
    <xf numFmtId="167" fontId="12" fillId="0" borderId="1" xfId="24" applyNumberFormat="1" applyFont="1" applyFill="1" applyBorder="1" applyAlignment="1">
      <alignment vertical="center"/>
    </xf>
    <xf numFmtId="167" fontId="13" fillId="0" borderId="1" xfId="24" applyNumberFormat="1" applyFont="1" applyFill="1" applyBorder="1" applyAlignment="1">
      <alignment horizontal="left" vertical="center"/>
    </xf>
    <xf numFmtId="0" fontId="12" fillId="0" borderId="13" xfId="9" applyFont="1" applyBorder="1" applyAlignment="1">
      <alignment horizontal="center" wrapText="1"/>
    </xf>
    <xf numFmtId="0" fontId="12" fillId="0" borderId="1" xfId="9" applyFont="1" applyBorder="1" applyAlignment="1">
      <alignment horizontal="center" wrapText="1"/>
    </xf>
    <xf numFmtId="0" fontId="12" fillId="0" borderId="13" xfId="3" applyFont="1" applyFill="1" applyBorder="1" applyAlignment="1">
      <alignment horizontal="center" vertical="top" wrapText="1"/>
    </xf>
    <xf numFmtId="166" fontId="12" fillId="0" borderId="1" xfId="9" applyNumberFormat="1" applyFont="1" applyBorder="1" applyAlignment="1">
      <alignment horizontal="right" wrapText="1"/>
    </xf>
    <xf numFmtId="166" fontId="12" fillId="0" borderId="0" xfId="24" applyNumberFormat="1" applyFont="1" applyAlignment="1">
      <alignment horizontal="right"/>
    </xf>
    <xf numFmtId="166" fontId="12" fillId="0" borderId="1" xfId="3" applyNumberFormat="1" applyFont="1" applyBorder="1"/>
    <xf numFmtId="0" fontId="12" fillId="0" borderId="1" xfId="3" applyFont="1" applyBorder="1"/>
    <xf numFmtId="167" fontId="28" fillId="0" borderId="1" xfId="24" applyNumberFormat="1" applyFont="1" applyFill="1" applyBorder="1" applyAlignment="1">
      <alignment horizontal="right"/>
    </xf>
    <xf numFmtId="0" fontId="36" fillId="0" borderId="0" xfId="7" applyFont="1" applyFill="1" applyAlignment="1">
      <alignment horizontal="right"/>
    </xf>
    <xf numFmtId="0" fontId="32" fillId="0" borderId="0" xfId="9" applyFont="1" applyFill="1" applyAlignment="1">
      <alignment horizontal="right" vertical="center"/>
    </xf>
    <xf numFmtId="166" fontId="11" fillId="8" borderId="7" xfId="25" applyNumberFormat="1" applyFont="1" applyFill="1" applyBorder="1" applyAlignment="1">
      <alignment horizontal="right" vertical="center" wrapText="1"/>
    </xf>
    <xf numFmtId="166" fontId="11" fillId="8" borderId="1" xfId="25" applyNumberFormat="1" applyFont="1" applyFill="1" applyBorder="1" applyAlignment="1">
      <alignment horizontal="right" vertical="center" wrapText="1"/>
    </xf>
    <xf numFmtId="0" fontId="12" fillId="0" borderId="0" xfId="7" applyFont="1" applyFill="1"/>
    <xf numFmtId="0" fontId="32" fillId="0" borderId="45" xfId="7" applyFont="1" applyFill="1" applyBorder="1"/>
    <xf numFmtId="0" fontId="32" fillId="0" borderId="46" xfId="7" applyFont="1" applyFill="1" applyBorder="1" applyAlignment="1">
      <alignment horizontal="center"/>
    </xf>
    <xf numFmtId="0" fontId="32" fillId="0" borderId="47" xfId="7" applyFont="1" applyFill="1" applyBorder="1"/>
    <xf numFmtId="0" fontId="32" fillId="0" borderId="46" xfId="7" applyFont="1" applyFill="1" applyBorder="1"/>
    <xf numFmtId="0" fontId="25" fillId="0" borderId="39" xfId="7" applyFont="1" applyFill="1" applyBorder="1"/>
    <xf numFmtId="0" fontId="25" fillId="0" borderId="27" xfId="7" applyFont="1" applyFill="1" applyBorder="1"/>
    <xf numFmtId="0" fontId="25" fillId="0" borderId="40" xfId="7" applyFont="1" applyFill="1" applyBorder="1"/>
    <xf numFmtId="0" fontId="25" fillId="0" borderId="42" xfId="7" applyFont="1" applyFill="1" applyBorder="1"/>
    <xf numFmtId="0" fontId="25" fillId="0" borderId="38" xfId="7" applyFont="1" applyFill="1" applyBorder="1"/>
    <xf numFmtId="0" fontId="25" fillId="0" borderId="43" xfId="7" applyFont="1" applyFill="1" applyBorder="1"/>
    <xf numFmtId="0" fontId="32" fillId="0" borderId="39" xfId="7" applyFont="1" applyFill="1" applyBorder="1"/>
    <xf numFmtId="0" fontId="32" fillId="0" borderId="27" xfId="7" applyFont="1" applyFill="1" applyBorder="1"/>
    <xf numFmtId="0" fontId="32" fillId="0" borderId="40" xfId="7" applyFont="1" applyFill="1" applyBorder="1"/>
    <xf numFmtId="0" fontId="32" fillId="0" borderId="42" xfId="7" applyFont="1" applyFill="1" applyBorder="1"/>
    <xf numFmtId="0" fontId="32" fillId="0" borderId="38" xfId="7" applyFont="1" applyFill="1" applyBorder="1"/>
    <xf numFmtId="0" fontId="32" fillId="0" borderId="43" xfId="7" applyFont="1" applyFill="1" applyBorder="1"/>
    <xf numFmtId="0" fontId="25" fillId="0" borderId="45" xfId="7" applyFont="1" applyFill="1" applyBorder="1" applyAlignment="1">
      <alignment horizontal="center" vertical="center"/>
    </xf>
    <xf numFmtId="0" fontId="25" fillId="0" borderId="46" xfId="7" applyFont="1" applyFill="1" applyBorder="1" applyAlignment="1">
      <alignment horizontal="center" vertical="center"/>
    </xf>
    <xf numFmtId="0" fontId="25" fillId="0" borderId="47" xfId="7" applyFont="1" applyFill="1" applyBorder="1" applyAlignment="1">
      <alignment horizontal="center" vertical="center"/>
    </xf>
    <xf numFmtId="175" fontId="25" fillId="0" borderId="38" xfId="26" applyNumberFormat="1" applyFont="1" applyFill="1" applyBorder="1" applyAlignment="1">
      <alignment horizontal="right" vertical="distributed"/>
    </xf>
    <xf numFmtId="175" fontId="25" fillId="0" borderId="43" xfId="26" applyNumberFormat="1" applyFont="1" applyFill="1" applyBorder="1" applyAlignment="1">
      <alignment horizontal="right" vertical="distributed"/>
    </xf>
    <xf numFmtId="0" fontId="25" fillId="0" borderId="45" xfId="7" applyFont="1" applyFill="1" applyBorder="1"/>
    <xf numFmtId="0" fontId="25" fillId="0" borderId="46" xfId="7" applyFont="1" applyFill="1" applyBorder="1"/>
    <xf numFmtId="0" fontId="25" fillId="0" borderId="47" xfId="7" applyFont="1" applyFill="1" applyBorder="1"/>
    <xf numFmtId="0" fontId="32" fillId="0" borderId="48" xfId="7" applyFont="1" applyFill="1" applyBorder="1"/>
    <xf numFmtId="0" fontId="32" fillId="0" borderId="0" xfId="7" applyFont="1" applyFill="1" applyBorder="1"/>
    <xf numFmtId="0" fontId="32" fillId="0" borderId="11" xfId="7" applyFont="1" applyFill="1" applyBorder="1"/>
    <xf numFmtId="0" fontId="25" fillId="0" borderId="48" xfId="7" applyFont="1" applyFill="1" applyBorder="1"/>
    <xf numFmtId="0" fontId="25" fillId="0" borderId="0" xfId="7" applyFont="1" applyFill="1" applyBorder="1"/>
    <xf numFmtId="0" fontId="25" fillId="0" borderId="11" xfId="7" applyFont="1" applyFill="1" applyBorder="1"/>
    <xf numFmtId="0" fontId="12" fillId="0" borderId="0" xfId="7" applyFont="1" applyFill="1" applyBorder="1"/>
    <xf numFmtId="0" fontId="32" fillId="0" borderId="49" xfId="7" applyFont="1" applyFill="1" applyBorder="1"/>
    <xf numFmtId="0" fontId="32" fillId="0" borderId="10" xfId="7" applyFont="1" applyFill="1" applyBorder="1"/>
    <xf numFmtId="0" fontId="32" fillId="0" borderId="17" xfId="7" applyFont="1" applyFill="1" applyBorder="1"/>
    <xf numFmtId="0" fontId="32" fillId="0" borderId="53" xfId="7" applyFont="1" applyFill="1" applyBorder="1"/>
    <xf numFmtId="0" fontId="25" fillId="0" borderId="54" xfId="7" applyFont="1" applyFill="1" applyBorder="1"/>
    <xf numFmtId="0" fontId="25" fillId="0" borderId="55" xfId="7" applyFont="1" applyFill="1" applyBorder="1"/>
    <xf numFmtId="0" fontId="25" fillId="0" borderId="49" xfId="7" applyFont="1" applyFill="1" applyBorder="1"/>
    <xf numFmtId="0" fontId="25" fillId="0" borderId="10" xfId="7" applyFont="1" applyFill="1" applyBorder="1"/>
    <xf numFmtId="0" fontId="25" fillId="0" borderId="17" xfId="7" applyFont="1" applyFill="1" applyBorder="1"/>
    <xf numFmtId="168" fontId="32" fillId="0" borderId="0" xfId="24" applyNumberFormat="1" applyFont="1" applyFill="1" applyAlignment="1"/>
    <xf numFmtId="168" fontId="32" fillId="0" borderId="0" xfId="7" applyNumberFormat="1" applyFont="1" applyFill="1" applyAlignment="1"/>
    <xf numFmtId="0" fontId="75" fillId="0" borderId="0" xfId="7" applyFont="1" applyFill="1"/>
    <xf numFmtId="168" fontId="32" fillId="0" borderId="1" xfId="24" applyNumberFormat="1" applyFont="1" applyFill="1" applyBorder="1" applyAlignment="1">
      <alignment horizontal="right" vertical="distributed"/>
    </xf>
    <xf numFmtId="168" fontId="32" fillId="0" borderId="1" xfId="7" applyNumberFormat="1" applyFont="1" applyFill="1" applyBorder="1" applyAlignment="1">
      <alignment horizontal="right" vertical="distributed"/>
    </xf>
    <xf numFmtId="168" fontId="25" fillId="0" borderId="38" xfId="26" applyNumberFormat="1" applyFont="1" applyFill="1" applyBorder="1" applyAlignment="1">
      <alignment horizontal="right" vertical="distributed"/>
    </xf>
    <xf numFmtId="168" fontId="25" fillId="0" borderId="43" xfId="26" applyNumberFormat="1" applyFont="1" applyFill="1" applyBorder="1" applyAlignment="1">
      <alignment horizontal="right" vertical="distributed"/>
    </xf>
    <xf numFmtId="168" fontId="32" fillId="0" borderId="0" xfId="24" applyNumberFormat="1" applyFont="1" applyFill="1" applyAlignment="1">
      <alignment horizontal="right" vertical="distributed"/>
    </xf>
    <xf numFmtId="168" fontId="32" fillId="0" borderId="0" xfId="7" applyNumberFormat="1" applyFont="1" applyFill="1" applyAlignment="1">
      <alignment horizontal="right" vertical="distributed"/>
    </xf>
    <xf numFmtId="168" fontId="32" fillId="0" borderId="28" xfId="24" applyNumberFormat="1" applyFont="1" applyFill="1" applyBorder="1" applyAlignment="1">
      <alignment horizontal="right" vertical="distributed"/>
    </xf>
    <xf numFmtId="168" fontId="32" fillId="0" borderId="26" xfId="24" applyNumberFormat="1" applyFont="1" applyFill="1" applyBorder="1" applyAlignment="1">
      <alignment horizontal="right" vertical="distributed"/>
    </xf>
    <xf numFmtId="168" fontId="32" fillId="0" borderId="25" xfId="24" applyNumberFormat="1" applyFont="1" applyFill="1" applyBorder="1" applyAlignment="1">
      <alignment horizontal="right" vertical="distributed"/>
    </xf>
    <xf numFmtId="168" fontId="25" fillId="0" borderId="45" xfId="26" applyNumberFormat="1" applyFont="1" applyFill="1" applyBorder="1" applyAlignment="1">
      <alignment horizontal="right" vertical="distributed"/>
    </xf>
    <xf numFmtId="168" fontId="32" fillId="0" borderId="47" xfId="7" applyNumberFormat="1" applyFont="1" applyFill="1" applyBorder="1" applyAlignment="1">
      <alignment horizontal="right" vertical="distributed"/>
    </xf>
    <xf numFmtId="0" fontId="48" fillId="0" borderId="0" xfId="3" applyFont="1" applyFill="1" applyBorder="1"/>
    <xf numFmtId="0" fontId="74" fillId="0" borderId="0" xfId="3" applyFont="1" applyFill="1" applyBorder="1"/>
    <xf numFmtId="0" fontId="21" fillId="0" borderId="0" xfId="3" applyFont="1" applyFill="1" applyBorder="1"/>
    <xf numFmtId="0" fontId="73" fillId="0" borderId="0" xfId="3" applyFont="1" applyFill="1" applyBorder="1"/>
    <xf numFmtId="0" fontId="57" fillId="0" borderId="0" xfId="3" applyFont="1" applyFill="1" applyAlignment="1">
      <alignment horizontal="center" vertical="center"/>
    </xf>
    <xf numFmtId="0" fontId="48" fillId="0" borderId="0" xfId="3" applyFont="1" applyFill="1"/>
    <xf numFmtId="166" fontId="48" fillId="0" borderId="0" xfId="3" applyNumberFormat="1" applyFont="1" applyFill="1"/>
    <xf numFmtId="172" fontId="40" fillId="0" borderId="1" xfId="5" applyNumberFormat="1" applyFont="1" applyFill="1" applyBorder="1" applyAlignment="1">
      <alignment horizontal="left" vertical="top" wrapText="1" indent="2"/>
    </xf>
    <xf numFmtId="49" fontId="40" fillId="0" borderId="1" xfId="5" applyNumberFormat="1" applyFont="1" applyFill="1" applyBorder="1" applyAlignment="1">
      <alignment horizontal="center" vertical="top" wrapText="1"/>
    </xf>
    <xf numFmtId="49" fontId="40" fillId="0" borderId="1" xfId="14" applyNumberFormat="1" applyFont="1" applyFill="1" applyBorder="1" applyAlignment="1">
      <alignment horizontal="center" vertical="top" wrapText="1"/>
    </xf>
    <xf numFmtId="176" fontId="32" fillId="0" borderId="47" xfId="26" applyNumberFormat="1" applyFont="1" applyFill="1" applyBorder="1" applyAlignment="1">
      <alignment horizontal="center" vertical="distributed"/>
    </xf>
    <xf numFmtId="176" fontId="32" fillId="0" borderId="47" xfId="26" applyNumberFormat="1" applyFont="1" applyFill="1" applyBorder="1" applyAlignment="1">
      <alignment horizontal="right" vertical="distributed"/>
    </xf>
    <xf numFmtId="168" fontId="32" fillId="0" borderId="47" xfId="7" applyNumberFormat="1" applyFont="1" applyFill="1" applyBorder="1" applyAlignment="1">
      <alignment horizontal="right" vertical="distributed"/>
    </xf>
    <xf numFmtId="174" fontId="32" fillId="0" borderId="47" xfId="7" applyNumberFormat="1" applyFont="1" applyFill="1" applyBorder="1" applyAlignment="1">
      <alignment horizontal="right" vertical="distributed"/>
    </xf>
    <xf numFmtId="43" fontId="32" fillId="0" borderId="47" xfId="26" applyFont="1" applyFill="1" applyBorder="1" applyAlignment="1">
      <alignment horizontal="right" vertical="distributed"/>
    </xf>
    <xf numFmtId="176" fontId="32" fillId="0" borderId="55" xfId="26" applyNumberFormat="1" applyFont="1" applyFill="1" applyBorder="1" applyAlignment="1">
      <alignment horizontal="distributed" vertical="distributed"/>
    </xf>
    <xf numFmtId="175" fontId="25" fillId="0" borderId="43" xfId="26" applyNumberFormat="1" applyFont="1" applyFill="1" applyBorder="1" applyAlignment="1">
      <alignment horizontal="right" vertical="distributed"/>
    </xf>
    <xf numFmtId="0" fontId="32" fillId="0" borderId="47" xfId="7" applyFont="1" applyFill="1" applyBorder="1" applyAlignment="1">
      <alignment horizontal="center"/>
    </xf>
    <xf numFmtId="175" fontId="32" fillId="0" borderId="47" xfId="26" applyNumberFormat="1" applyFont="1" applyFill="1" applyBorder="1" applyAlignment="1">
      <alignment horizontal="right" vertical="distributed"/>
    </xf>
    <xf numFmtId="166" fontId="9" fillId="0" borderId="0" xfId="34" applyNumberFormat="1" applyFont="1" applyFill="1" applyAlignment="1">
      <alignment horizontal="right"/>
    </xf>
    <xf numFmtId="167" fontId="33" fillId="0" borderId="0" xfId="34" applyNumberFormat="1" applyFont="1" applyFill="1" applyAlignment="1">
      <alignment horizontal="right"/>
    </xf>
    <xf numFmtId="166" fontId="35" fillId="0" borderId="0" xfId="34" applyNumberFormat="1" applyFont="1" applyFill="1" applyAlignment="1">
      <alignment horizontal="right"/>
    </xf>
    <xf numFmtId="167" fontId="33" fillId="0" borderId="0" xfId="34" applyNumberFormat="1" applyFont="1" applyFill="1" applyAlignment="1">
      <alignment horizontal="left"/>
    </xf>
    <xf numFmtId="167" fontId="33" fillId="0" borderId="0" xfId="34" applyNumberFormat="1" applyFont="1" applyFill="1" applyAlignment="1">
      <alignment horizontal="center" vertical="center"/>
    </xf>
    <xf numFmtId="168" fontId="33" fillId="0" borderId="0" xfId="34" applyNumberFormat="1" applyFont="1" applyFill="1" applyAlignment="1">
      <alignment horizontal="right"/>
    </xf>
    <xf numFmtId="167" fontId="33" fillId="0" borderId="0" xfId="34" applyNumberFormat="1" applyFont="1" applyFill="1"/>
    <xf numFmtId="166" fontId="32" fillId="0" borderId="0" xfId="34" applyNumberFormat="1" applyFont="1" applyFill="1" applyAlignment="1">
      <alignment horizontal="right"/>
    </xf>
    <xf numFmtId="166" fontId="16" fillId="0" borderId="1" xfId="34" applyNumberFormat="1" applyFont="1" applyFill="1" applyBorder="1" applyAlignment="1">
      <alignment horizontal="center" vertical="center"/>
    </xf>
    <xf numFmtId="167" fontId="22" fillId="0" borderId="1" xfId="34" applyNumberFormat="1" applyFont="1" applyFill="1" applyBorder="1" applyAlignment="1">
      <alignment horizontal="right" vertical="center" wrapText="1"/>
    </xf>
    <xf numFmtId="166" fontId="22" fillId="0" borderId="1" xfId="34" applyNumberFormat="1" applyFont="1" applyFill="1" applyBorder="1" applyAlignment="1">
      <alignment horizontal="right" vertical="center" wrapText="1"/>
    </xf>
    <xf numFmtId="167" fontId="28" fillId="0" borderId="1" xfId="34" applyNumberFormat="1" applyFont="1" applyFill="1" applyBorder="1" applyAlignment="1">
      <alignment horizontal="right" vertical="center" wrapText="1"/>
    </xf>
    <xf numFmtId="166" fontId="28" fillId="0" borderId="1" xfId="34" applyNumberFormat="1" applyFont="1" applyFill="1" applyBorder="1" applyAlignment="1">
      <alignment horizontal="right" vertical="center" wrapText="1"/>
    </xf>
    <xf numFmtId="166" fontId="13" fillId="0" borderId="1" xfId="34" applyNumberFormat="1" applyFont="1" applyFill="1" applyBorder="1" applyAlignment="1">
      <alignment horizontal="right" vertical="center" wrapText="1"/>
    </xf>
    <xf numFmtId="167" fontId="13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7" fontId="16" fillId="0" borderId="1" xfId="34" applyNumberFormat="1" applyFont="1" applyFill="1" applyBorder="1" applyAlignment="1">
      <alignment horizontal="right" vertical="center" wrapText="1"/>
    </xf>
    <xf numFmtId="166" fontId="16" fillId="0" borderId="1" xfId="34" applyNumberFormat="1" applyFont="1" applyFill="1" applyBorder="1" applyAlignment="1">
      <alignment horizontal="right" vertical="center" wrapText="1"/>
    </xf>
    <xf numFmtId="165" fontId="11" fillId="0" borderId="1" xfId="34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30" fillId="0" borderId="1" xfId="34" applyNumberFormat="1" applyFont="1" applyFill="1" applyBorder="1" applyAlignment="1">
      <alignment horizontal="right" vertical="center" wrapText="1"/>
    </xf>
    <xf numFmtId="166" fontId="30" fillId="0" borderId="1" xfId="34" applyNumberFormat="1" applyFont="1" applyFill="1" applyBorder="1" applyAlignment="1">
      <alignment horizontal="right" vertical="center" wrapText="1"/>
    </xf>
    <xf numFmtId="168" fontId="16" fillId="0" borderId="1" xfId="34" applyNumberFormat="1" applyFont="1" applyFill="1" applyBorder="1" applyAlignment="1">
      <alignment horizontal="right" vertical="center" wrapText="1"/>
    </xf>
    <xf numFmtId="165" fontId="27" fillId="0" borderId="1" xfId="34" applyFont="1" applyFill="1" applyBorder="1" applyAlignment="1">
      <alignment horizontal="right" vertical="center" wrapText="1"/>
    </xf>
    <xf numFmtId="167" fontId="11" fillId="0" borderId="15" xfId="34" applyNumberFormat="1" applyFont="1" applyFill="1" applyBorder="1" applyAlignment="1">
      <alignment horizontal="right" vertical="center" wrapText="1"/>
    </xf>
    <xf numFmtId="165" fontId="16" fillId="0" borderId="1" xfId="34" applyFont="1" applyFill="1" applyBorder="1" applyAlignment="1">
      <alignment horizontal="right" vertical="center" wrapText="1"/>
    </xf>
    <xf numFmtId="167" fontId="16" fillId="0" borderId="1" xfId="34" applyNumberFormat="1" applyFont="1" applyFill="1" applyBorder="1" applyAlignment="1">
      <alignment vertical="center" wrapText="1"/>
    </xf>
    <xf numFmtId="166" fontId="11" fillId="0" borderId="1" xfId="34" applyNumberFormat="1" applyFont="1" applyFill="1" applyBorder="1" applyAlignment="1">
      <alignment vertical="center" wrapText="1"/>
    </xf>
    <xf numFmtId="165" fontId="12" fillId="0" borderId="1" xfId="34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vertical="center" wrapText="1"/>
    </xf>
    <xf numFmtId="166" fontId="16" fillId="0" borderId="26" xfId="34" applyNumberFormat="1" applyFont="1" applyFill="1" applyBorder="1" applyAlignment="1">
      <alignment horizontal="center" vertical="center"/>
    </xf>
    <xf numFmtId="166" fontId="9" fillId="0" borderId="27" xfId="34" applyNumberFormat="1" applyFont="1" applyFill="1" applyBorder="1" applyAlignment="1">
      <alignment horizontal="right"/>
    </xf>
    <xf numFmtId="168" fontId="16" fillId="0" borderId="7" xfId="34" applyNumberFormat="1" applyFont="1" applyFill="1" applyBorder="1" applyAlignment="1">
      <alignment horizontal="right" vertical="center"/>
    </xf>
    <xf numFmtId="166" fontId="9" fillId="0" borderId="0" xfId="34" applyNumberFormat="1" applyFont="1" applyFill="1" applyBorder="1" applyAlignment="1">
      <alignment horizontal="right"/>
    </xf>
    <xf numFmtId="167" fontId="16" fillId="0" borderId="7" xfId="34" applyNumberFormat="1" applyFont="1" applyFill="1" applyBorder="1" applyAlignment="1">
      <alignment horizontal="center" vertical="center"/>
    </xf>
    <xf numFmtId="167" fontId="16" fillId="0" borderId="7" xfId="34" applyNumberFormat="1" applyFont="1" applyFill="1" applyBorder="1" applyAlignment="1">
      <alignment vertical="center" wrapText="1"/>
    </xf>
    <xf numFmtId="170" fontId="9" fillId="0" borderId="0" xfId="36" applyFont="1" applyFill="1" applyBorder="1"/>
    <xf numFmtId="167" fontId="11" fillId="0" borderId="7" xfId="34" applyNumberFormat="1" applyFont="1" applyFill="1" applyBorder="1" applyAlignment="1">
      <alignment horizontal="right" vertical="center" wrapText="1"/>
    </xf>
    <xf numFmtId="167" fontId="13" fillId="0" borderId="7" xfId="34" applyNumberFormat="1" applyFont="1" applyFill="1" applyBorder="1" applyAlignment="1">
      <alignment horizontal="right" vertical="center" wrapText="1"/>
    </xf>
    <xf numFmtId="0" fontId="25" fillId="0" borderId="0" xfId="35" applyFont="1" applyFill="1" applyBorder="1" applyAlignment="1"/>
    <xf numFmtId="166" fontId="11" fillId="0" borderId="9" xfId="34" applyNumberFormat="1" applyFont="1" applyFill="1" applyBorder="1" applyAlignment="1">
      <alignment horizontal="right" vertical="center" wrapText="1"/>
    </xf>
    <xf numFmtId="166" fontId="16" fillId="0" borderId="7" xfId="34" applyNumberFormat="1" applyFont="1" applyFill="1" applyBorder="1" applyAlignment="1">
      <alignment horizontal="right" vertical="center" wrapText="1"/>
    </xf>
    <xf numFmtId="0" fontId="20" fillId="0" borderId="1" xfId="37" applyFont="1" applyFill="1" applyBorder="1" applyAlignment="1">
      <alignment horizontal="left" vertical="center" wrapText="1"/>
    </xf>
    <xf numFmtId="0" fontId="20" fillId="0" borderId="7" xfId="37" applyFont="1" applyFill="1" applyBorder="1" applyAlignment="1">
      <alignment horizontal="left" vertical="center" wrapText="1"/>
    </xf>
    <xf numFmtId="0" fontId="12" fillId="0" borderId="1" xfId="37" applyFont="1" applyFill="1" applyBorder="1" applyAlignment="1">
      <alignment horizontal="left" vertical="top" wrapText="1"/>
    </xf>
    <xf numFmtId="166" fontId="13" fillId="0" borderId="7" xfId="34" applyNumberFormat="1" applyFont="1" applyFill="1" applyBorder="1" applyAlignment="1">
      <alignment horizontal="right" vertical="center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12" fillId="0" borderId="7" xfId="37" applyFont="1" applyFill="1" applyBorder="1" applyAlignment="1">
      <alignment horizontal="left" vertical="center" wrapText="1"/>
    </xf>
    <xf numFmtId="0" fontId="20" fillId="0" borderId="8" xfId="37" applyFont="1" applyFill="1" applyBorder="1" applyAlignment="1">
      <alignment horizontal="left" vertical="center" wrapText="1"/>
    </xf>
    <xf numFmtId="167" fontId="12" fillId="0" borderId="1" xfId="37" applyNumberFormat="1" applyFont="1" applyFill="1" applyBorder="1" applyAlignment="1">
      <alignment horizontal="left" vertical="center" wrapText="1"/>
    </xf>
    <xf numFmtId="167" fontId="12" fillId="0" borderId="7" xfId="37" applyNumberFormat="1" applyFont="1" applyFill="1" applyBorder="1" applyAlignment="1">
      <alignment horizontal="left" vertical="center" wrapText="1"/>
    </xf>
    <xf numFmtId="0" fontId="20" fillId="0" borderId="0" xfId="37" applyFont="1" applyFill="1" applyBorder="1" applyAlignment="1">
      <alignment horizontal="left" vertical="center" wrapText="1"/>
    </xf>
    <xf numFmtId="167" fontId="11" fillId="0" borderId="2" xfId="34" applyNumberFormat="1" applyFont="1" applyFill="1" applyBorder="1" applyAlignment="1">
      <alignment horizontal="right" vertical="center" wrapText="1"/>
    </xf>
    <xf numFmtId="165" fontId="16" fillId="0" borderId="2" xfId="34" applyFont="1" applyFill="1" applyBorder="1" applyAlignment="1">
      <alignment horizontal="right" vertical="center" wrapText="1"/>
    </xf>
    <xf numFmtId="167" fontId="11" fillId="0" borderId="18" xfId="34" applyNumberFormat="1" applyFont="1" applyFill="1" applyBorder="1" applyAlignment="1">
      <alignment horizontal="right" vertical="center" wrapText="1"/>
    </xf>
    <xf numFmtId="0" fontId="12" fillId="0" borderId="0" xfId="0" applyFont="1" applyFill="1" applyBorder="1" applyAlignment="1">
      <alignment vertical="top" wrapText="1"/>
    </xf>
    <xf numFmtId="167" fontId="16" fillId="0" borderId="7" xfId="34" applyNumberFormat="1" applyFont="1" applyFill="1" applyBorder="1" applyAlignment="1">
      <alignment horizontal="right" vertical="center" wrapText="1"/>
    </xf>
    <xf numFmtId="0" fontId="12" fillId="0" borderId="7" xfId="37" applyFont="1" applyFill="1" applyBorder="1" applyAlignment="1">
      <alignment vertical="top" wrapText="1"/>
    </xf>
    <xf numFmtId="0" fontId="70" fillId="0" borderId="1" xfId="37" applyFont="1" applyFill="1" applyBorder="1" applyAlignment="1">
      <alignment horizontal="left" vertical="center" wrapText="1"/>
    </xf>
    <xf numFmtId="0" fontId="12" fillId="0" borderId="1" xfId="37" applyFont="1" applyFill="1" applyBorder="1" applyAlignment="1">
      <alignment horizontal="left" vertical="center" wrapText="1"/>
    </xf>
    <xf numFmtId="168" fontId="16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6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3" fillId="0" borderId="1" xfId="34" applyNumberFormat="1" applyFont="1" applyFill="1" applyBorder="1" applyAlignment="1">
      <alignment horizontal="right" vertical="center" wrapText="1"/>
    </xf>
    <xf numFmtId="168" fontId="13" fillId="0" borderId="7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72" fontId="51" fillId="0" borderId="1" xfId="11" applyNumberFormat="1" applyFont="1" applyFill="1" applyBorder="1" applyAlignment="1" applyProtection="1">
      <alignment horizontal="left" vertical="center" wrapText="1"/>
    </xf>
    <xf numFmtId="167" fontId="12" fillId="0" borderId="1" xfId="34" applyNumberFormat="1" applyFont="1" applyFill="1" applyBorder="1" applyAlignment="1">
      <alignment vertical="center"/>
    </xf>
    <xf numFmtId="0" fontId="12" fillId="0" borderId="1" xfId="37" applyNumberFormat="1" applyFont="1" applyFill="1" applyBorder="1" applyAlignment="1" applyProtection="1">
      <alignment horizontal="left" vertical="center" wrapText="1"/>
    </xf>
    <xf numFmtId="169" fontId="12" fillId="0" borderId="1" xfId="37" applyNumberFormat="1" applyFont="1" applyFill="1" applyBorder="1" applyAlignment="1" applyProtection="1">
      <alignment horizontal="left" vertical="center" wrapText="1"/>
    </xf>
    <xf numFmtId="166" fontId="12" fillId="0" borderId="1" xfId="34" applyNumberFormat="1" applyFont="1" applyFill="1" applyBorder="1" applyAlignment="1">
      <alignment horizontal="left" vertical="center" wrapText="1"/>
    </xf>
    <xf numFmtId="166" fontId="11" fillId="0" borderId="0" xfId="34" applyNumberFormat="1" applyFont="1" applyFill="1" applyBorder="1" applyAlignment="1">
      <alignment horizontal="right" vertical="center" wrapText="1"/>
    </xf>
    <xf numFmtId="168" fontId="16" fillId="0" borderId="7" xfId="34" applyNumberFormat="1" applyFont="1" applyFill="1" applyBorder="1" applyAlignment="1">
      <alignment horizontal="right" vertical="center" wrapText="1"/>
    </xf>
    <xf numFmtId="167" fontId="11" fillId="0" borderId="0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49" fontId="11" fillId="0" borderId="1" xfId="34" applyNumberFormat="1" applyFont="1" applyFill="1" applyBorder="1" applyAlignment="1">
      <alignment horizontal="right" vertical="center" wrapText="1"/>
    </xf>
    <xf numFmtId="0" fontId="9" fillId="0" borderId="15" xfId="3" applyFont="1" applyFill="1" applyBorder="1" applyAlignment="1">
      <alignment horizontal="left" vertical="center" wrapText="1"/>
    </xf>
    <xf numFmtId="166" fontId="11" fillId="0" borderId="10" xfId="34" applyNumberFormat="1" applyFont="1" applyFill="1" applyBorder="1" applyAlignment="1">
      <alignment horizontal="right" vertical="center" wrapText="1"/>
    </xf>
    <xf numFmtId="166" fontId="11" fillId="0" borderId="18" xfId="34" applyNumberFormat="1" applyFont="1" applyFill="1" applyBorder="1" applyAlignment="1">
      <alignment horizontal="right" vertical="center" wrapText="1"/>
    </xf>
    <xf numFmtId="172" fontId="9" fillId="0" borderId="4" xfId="5" applyNumberFormat="1" applyFont="1" applyFill="1" applyBorder="1" applyAlignment="1">
      <alignment horizontal="left" vertical="center" wrapText="1" indent="2"/>
    </xf>
    <xf numFmtId="49" fontId="11" fillId="0" borderId="1" xfId="34" applyNumberFormat="1" applyFont="1" applyFill="1" applyBorder="1" applyAlignment="1">
      <alignment vertical="center" wrapText="1"/>
    </xf>
    <xf numFmtId="167" fontId="11" fillId="0" borderId="1" xfId="34" applyNumberFormat="1" applyFont="1" applyFill="1" applyBorder="1" applyAlignment="1">
      <alignment vertical="center" wrapText="1"/>
    </xf>
    <xf numFmtId="49" fontId="11" fillId="0" borderId="18" xfId="34" applyNumberFormat="1" applyFont="1" applyFill="1" applyBorder="1" applyAlignment="1">
      <alignment vertical="center" wrapText="1"/>
    </xf>
    <xf numFmtId="167" fontId="11" fillId="0" borderId="18" xfId="34" applyNumberFormat="1" applyFont="1" applyFill="1" applyBorder="1" applyAlignment="1">
      <alignment vertical="center" wrapText="1"/>
    </xf>
    <xf numFmtId="49" fontId="13" fillId="0" borderId="1" xfId="34" applyNumberFormat="1" applyFont="1" applyFill="1" applyBorder="1" applyAlignment="1">
      <alignment horizontal="right"/>
    </xf>
    <xf numFmtId="166" fontId="13" fillId="0" borderId="7" xfId="34" applyNumberFormat="1" applyFont="1" applyFill="1" applyBorder="1" applyAlignment="1">
      <alignment horizontal="right"/>
    </xf>
    <xf numFmtId="166" fontId="13" fillId="0" borderId="1" xfId="34" applyNumberFormat="1" applyFont="1" applyFill="1" applyBorder="1" applyAlignment="1">
      <alignment horizontal="right"/>
    </xf>
    <xf numFmtId="0" fontId="12" fillId="0" borderId="1" xfId="0" applyFont="1" applyFill="1" applyBorder="1" applyAlignment="1">
      <alignment vertical="justify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9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2" fillId="0" borderId="2" xfId="3" applyFont="1" applyFill="1" applyBorder="1" applyAlignment="1">
      <alignment horizontal="left" vertical="justify" wrapText="1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49" fontId="11" fillId="0" borderId="2" xfId="34" applyNumberFormat="1" applyFont="1" applyFill="1" applyBorder="1" applyAlignment="1">
      <alignment horizontal="right" vertical="center" wrapText="1"/>
    </xf>
    <xf numFmtId="166" fontId="13" fillId="0" borderId="2" xfId="34" applyNumberFormat="1" applyFont="1" applyFill="1" applyBorder="1" applyAlignment="1">
      <alignment horizontal="right"/>
    </xf>
    <xf numFmtId="166" fontId="9" fillId="0" borderId="2" xfId="34" applyNumberFormat="1" applyFont="1" applyFill="1" applyBorder="1" applyAlignment="1">
      <alignment horizontal="right"/>
    </xf>
    <xf numFmtId="166" fontId="14" fillId="0" borderId="2" xfId="34" applyNumberFormat="1" applyFont="1" applyFill="1" applyBorder="1" applyAlignment="1">
      <alignment horizontal="right"/>
    </xf>
    <xf numFmtId="166" fontId="13" fillId="0" borderId="20" xfId="34" applyNumberFormat="1" applyFont="1" applyFill="1" applyBorder="1" applyAlignment="1">
      <alignment horizontal="right"/>
    </xf>
    <xf numFmtId="166" fontId="9" fillId="0" borderId="1" xfId="34" applyNumberFormat="1" applyFont="1" applyFill="1" applyBorder="1" applyAlignment="1">
      <alignment horizontal="right"/>
    </xf>
    <xf numFmtId="0" fontId="12" fillId="0" borderId="18" xfId="37" applyFont="1" applyFill="1" applyBorder="1" applyAlignment="1">
      <alignment horizontal="left" vertical="center" wrapText="1"/>
    </xf>
    <xf numFmtId="0" fontId="76" fillId="0" borderId="1" xfId="0" applyFont="1" applyFill="1" applyBorder="1" applyAlignment="1">
      <alignment horizontal="left" vertical="center" wrapText="1"/>
    </xf>
    <xf numFmtId="0" fontId="76" fillId="0" borderId="1" xfId="0" applyFont="1" applyFill="1" applyBorder="1" applyAlignment="1">
      <alignment vertical="center" wrapText="1"/>
    </xf>
    <xf numFmtId="166" fontId="11" fillId="0" borderId="4" xfId="34" applyNumberFormat="1" applyFont="1" applyFill="1" applyBorder="1" applyAlignment="1">
      <alignment horizontal="right" vertical="center" wrapText="1"/>
    </xf>
    <xf numFmtId="166" fontId="9" fillId="0" borderId="4" xfId="34" applyNumberFormat="1" applyFont="1" applyFill="1" applyBorder="1" applyAlignment="1">
      <alignment horizontal="right"/>
    </xf>
    <xf numFmtId="166" fontId="11" fillId="0" borderId="3" xfId="34" applyNumberFormat="1" applyFont="1" applyFill="1" applyBorder="1" applyAlignment="1">
      <alignment horizontal="right" vertical="center" wrapText="1"/>
    </xf>
    <xf numFmtId="166" fontId="51" fillId="0" borderId="0" xfId="24" applyNumberFormat="1" applyFont="1" applyFill="1" applyAlignment="1">
      <alignment horizontal="right"/>
    </xf>
    <xf numFmtId="0" fontId="50" fillId="0" borderId="33" xfId="5" applyFont="1" applyFill="1" applyBorder="1" applyAlignment="1">
      <alignment horizontal="center" vertical="center" wrapText="1"/>
    </xf>
    <xf numFmtId="172" fontId="50" fillId="0" borderId="32" xfId="5" applyNumberFormat="1" applyFont="1" applyFill="1" applyBorder="1" applyAlignment="1">
      <alignment horizontal="center" vertical="center" wrapText="1"/>
    </xf>
    <xf numFmtId="166" fontId="50" fillId="0" borderId="32" xfId="5" applyNumberFormat="1" applyFont="1" applyFill="1" applyBorder="1" applyAlignment="1">
      <alignment horizontal="center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1" xfId="5" applyNumberFormat="1" applyFont="1" applyFill="1" applyBorder="1" applyAlignment="1">
      <alignment horizontal="center" vertical="center" wrapText="1"/>
    </xf>
    <xf numFmtId="0" fontId="12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77" fillId="0" borderId="37" xfId="5" applyNumberFormat="1" applyFont="1" applyFill="1" applyBorder="1" applyAlignment="1">
      <alignment horizontal="right" vertical="center" wrapText="1"/>
    </xf>
    <xf numFmtId="0" fontId="50" fillId="0" borderId="33" xfId="5" applyFont="1" applyFill="1" applyBorder="1" applyAlignment="1">
      <alignment horizontal="center" vertical="center"/>
    </xf>
    <xf numFmtId="0" fontId="50" fillId="0" borderId="32" xfId="8" applyFont="1" applyFill="1" applyBorder="1" applyAlignment="1">
      <alignment horizontal="left" vertical="center" wrapText="1"/>
    </xf>
    <xf numFmtId="168" fontId="77" fillId="0" borderId="31" xfId="5" applyNumberFormat="1" applyFont="1" applyFill="1" applyBorder="1" applyAlignment="1">
      <alignment horizontal="right" vertical="center" wrapText="1"/>
    </xf>
    <xf numFmtId="172" fontId="77" fillId="0" borderId="32" xfId="5" applyNumberFormat="1" applyFont="1" applyFill="1" applyBorder="1" applyAlignment="1">
      <alignment horizontal="left" vertical="center" wrapText="1"/>
    </xf>
    <xf numFmtId="0" fontId="50" fillId="0" borderId="21" xfId="5" applyFont="1" applyFill="1" applyBorder="1" applyAlignment="1">
      <alignment horizontal="center" vertical="center"/>
    </xf>
    <xf numFmtId="172" fontId="77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49" fontId="50" fillId="0" borderId="2" xfId="5" applyNumberFormat="1" applyFont="1" applyFill="1" applyBorder="1" applyAlignment="1">
      <alignment horizontal="center" vertical="center" wrapText="1"/>
    </xf>
    <xf numFmtId="168" fontId="77" fillId="0" borderId="20" xfId="5" applyNumberFormat="1" applyFont="1" applyFill="1" applyBorder="1" applyAlignment="1">
      <alignment horizontal="right" vertical="center" wrapText="1"/>
    </xf>
    <xf numFmtId="166" fontId="50" fillId="0" borderId="1" xfId="5" applyNumberFormat="1" applyFont="1" applyFill="1" applyBorder="1" applyAlignment="1">
      <alignment horizontal="left" vertical="center" wrapText="1"/>
    </xf>
    <xf numFmtId="168" fontId="77" fillId="0" borderId="9" xfId="5" applyNumberFormat="1" applyFont="1" applyFill="1" applyBorder="1" applyAlignment="1">
      <alignment horizontal="right" vertical="center"/>
    </xf>
    <xf numFmtId="0" fontId="51" fillId="0" borderId="8" xfId="5" applyFont="1" applyFill="1" applyBorder="1" applyAlignment="1">
      <alignment horizontal="center" vertical="center"/>
    </xf>
    <xf numFmtId="166" fontId="51" fillId="0" borderId="1" xfId="5" applyNumberFormat="1" applyFont="1" applyFill="1" applyBorder="1" applyAlignment="1">
      <alignment horizontal="left" vertical="center" wrapText="1"/>
    </xf>
    <xf numFmtId="168" fontId="18" fillId="0" borderId="9" xfId="5" applyNumberFormat="1" applyFont="1" applyFill="1" applyBorder="1" applyAlignment="1">
      <alignment horizontal="right" vertical="center"/>
    </xf>
    <xf numFmtId="172" fontId="51" fillId="0" borderId="1" xfId="5" applyNumberFormat="1" applyFont="1" applyFill="1" applyBorder="1" applyAlignment="1">
      <alignment horizontal="left" vertical="center" wrapText="1" indent="2"/>
    </xf>
    <xf numFmtId="166" fontId="51" fillId="0" borderId="1" xfId="5" applyNumberFormat="1" applyFont="1" applyFill="1" applyBorder="1" applyAlignment="1">
      <alignment horizontal="left" vertical="center" wrapText="1" indent="2"/>
    </xf>
    <xf numFmtId="172" fontId="77" fillId="0" borderId="1" xfId="5" applyNumberFormat="1" applyFont="1" applyFill="1" applyBorder="1" applyAlignment="1">
      <alignment horizontal="left" vertical="center" wrapText="1"/>
    </xf>
    <xf numFmtId="172" fontId="51" fillId="0" borderId="1" xfId="5" applyNumberFormat="1" applyFont="1" applyFill="1" applyBorder="1" applyAlignment="1">
      <alignment horizontal="left" vertical="top" wrapText="1" indent="2"/>
    </xf>
    <xf numFmtId="167" fontId="18" fillId="0" borderId="9" xfId="34" applyNumberFormat="1" applyFont="1" applyFill="1" applyBorder="1" applyAlignment="1">
      <alignment horizontal="right" vertical="center" wrapText="1"/>
    </xf>
    <xf numFmtId="168" fontId="40" fillId="0" borderId="14" xfId="5" applyNumberFormat="1" applyFont="1" applyFill="1" applyBorder="1" applyAlignment="1">
      <alignment horizontal="right" vertical="center"/>
    </xf>
    <xf numFmtId="166" fontId="51" fillId="0" borderId="1" xfId="11" applyNumberFormat="1" applyFont="1" applyFill="1" applyBorder="1" applyAlignment="1" applyProtection="1">
      <alignment horizontal="left" vertical="center" wrapText="1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0" fontId="50" fillId="0" borderId="24" xfId="5" applyFont="1" applyFill="1" applyBorder="1" applyAlignment="1">
      <alignment horizontal="center" vertical="center"/>
    </xf>
    <xf numFmtId="172" fontId="51" fillId="0" borderId="23" xfId="5" applyNumberFormat="1" applyFont="1" applyFill="1" applyBorder="1" applyAlignment="1">
      <alignment horizontal="left" vertical="center" wrapText="1" indent="2"/>
    </xf>
    <xf numFmtId="166" fontId="51" fillId="0" borderId="23" xfId="5" applyNumberFormat="1" applyFont="1" applyFill="1" applyBorder="1" applyAlignment="1">
      <alignment horizontal="left" vertical="center" wrapText="1" indent="2"/>
    </xf>
    <xf numFmtId="49" fontId="51" fillId="0" borderId="23" xfId="5" applyNumberFormat="1" applyFont="1" applyFill="1" applyBorder="1" applyAlignment="1">
      <alignment horizontal="center" vertical="center" wrapText="1"/>
    </xf>
    <xf numFmtId="168" fontId="18" fillId="0" borderId="34" xfId="5" applyNumberFormat="1" applyFont="1" applyFill="1" applyBorder="1" applyAlignment="1">
      <alignment horizontal="right" vertical="center"/>
    </xf>
    <xf numFmtId="0" fontId="51" fillId="0" borderId="21" xfId="5" applyFont="1" applyFill="1" applyBorder="1" applyAlignment="1">
      <alignment horizontal="center" vertical="center"/>
    </xf>
    <xf numFmtId="0" fontId="77" fillId="0" borderId="0" xfId="9" applyFont="1" applyFill="1" applyBorder="1" applyAlignment="1">
      <alignment wrapText="1"/>
    </xf>
    <xf numFmtId="0" fontId="51" fillId="0" borderId="7" xfId="9" applyFont="1" applyFill="1" applyBorder="1" applyAlignment="1">
      <alignment horizontal="left" vertical="center" wrapText="1"/>
    </xf>
    <xf numFmtId="172" fontId="51" fillId="0" borderId="7" xfId="5" applyNumberFormat="1" applyFont="1" applyFill="1" applyBorder="1" applyAlignment="1">
      <alignment horizontal="left" vertical="center" wrapText="1" indent="2"/>
    </xf>
    <xf numFmtId="0" fontId="51" fillId="0" borderId="7" xfId="9" applyFont="1" applyFill="1" applyBorder="1" applyAlignment="1">
      <alignment wrapText="1"/>
    </xf>
    <xf numFmtId="168" fontId="18" fillId="0" borderId="9" xfId="5" applyNumberFormat="1" applyFont="1" applyFill="1" applyBorder="1" applyAlignment="1">
      <alignment horizontal="right" vertical="center" wrapText="1"/>
    </xf>
    <xf numFmtId="0" fontId="51" fillId="0" borderId="1" xfId="9" applyNumberFormat="1" applyFont="1" applyFill="1" applyBorder="1" applyAlignment="1" applyProtection="1">
      <alignment horizontal="left" vertical="center" wrapText="1"/>
    </xf>
    <xf numFmtId="169" fontId="51" fillId="0" borderId="1" xfId="10" applyNumberFormat="1" applyFont="1" applyFill="1" applyBorder="1" applyAlignment="1" applyProtection="1">
      <alignment horizontal="left" vertical="center" wrapText="1"/>
    </xf>
    <xf numFmtId="0" fontId="51" fillId="0" borderId="1" xfId="9" applyFont="1" applyFill="1" applyBorder="1" applyAlignment="1">
      <alignment horizontal="left" vertical="center" wrapText="1"/>
    </xf>
    <xf numFmtId="49" fontId="51" fillId="0" borderId="1" xfId="3" applyNumberFormat="1" applyFont="1" applyFill="1" applyBorder="1" applyAlignment="1">
      <alignment horizontal="center" vertical="center" wrapText="1"/>
    </xf>
    <xf numFmtId="0" fontId="51" fillId="0" borderId="7" xfId="3" applyFont="1" applyFill="1" applyBorder="1" applyAlignment="1">
      <alignment horizontal="left" vertical="center" wrapText="1"/>
    </xf>
    <xf numFmtId="172" fontId="77" fillId="0" borderId="7" xfId="5" applyNumberFormat="1" applyFont="1" applyFill="1" applyBorder="1" applyAlignment="1">
      <alignment vertical="center" wrapText="1"/>
    </xf>
    <xf numFmtId="166" fontId="50" fillId="0" borderId="1" xfId="5" applyNumberFormat="1" applyFont="1" applyFill="1" applyBorder="1" applyAlignment="1">
      <alignment horizontal="left" vertical="center" wrapText="1" indent="2"/>
    </xf>
    <xf numFmtId="168" fontId="77" fillId="0" borderId="9" xfId="5" applyNumberFormat="1" applyFont="1" applyFill="1" applyBorder="1" applyAlignment="1">
      <alignment horizontal="right" vertical="center" wrapText="1"/>
    </xf>
    <xf numFmtId="172" fontId="51" fillId="0" borderId="7" xfId="5" applyNumberFormat="1" applyFont="1" applyFill="1" applyBorder="1" applyAlignment="1">
      <alignment vertical="center" wrapText="1"/>
    </xf>
    <xf numFmtId="172" fontId="50" fillId="0" borderId="7" xfId="5" applyNumberFormat="1" applyFont="1" applyFill="1" applyBorder="1" applyAlignment="1">
      <alignment vertical="center" wrapText="1"/>
    </xf>
    <xf numFmtId="0" fontId="50" fillId="0" borderId="8" xfId="5" applyFont="1" applyFill="1" applyBorder="1" applyAlignment="1">
      <alignment vertical="center"/>
    </xf>
    <xf numFmtId="0" fontId="50" fillId="0" borderId="7" xfId="3" applyFont="1" applyFill="1" applyBorder="1" applyAlignment="1">
      <alignment horizontal="left" vertical="center" wrapText="1"/>
    </xf>
    <xf numFmtId="0" fontId="51" fillId="0" borderId="2" xfId="10" applyNumberFormat="1" applyFont="1" applyFill="1" applyBorder="1" applyAlignment="1" applyProtection="1">
      <alignment horizontal="left" vertical="center" wrapText="1"/>
    </xf>
    <xf numFmtId="172" fontId="77" fillId="0" borderId="1" xfId="5" applyNumberFormat="1" applyFont="1" applyFill="1" applyBorder="1" applyAlignment="1">
      <alignment horizontal="left" vertical="top" wrapText="1"/>
    </xf>
    <xf numFmtId="166" fontId="51" fillId="0" borderId="1" xfId="14" applyNumberFormat="1" applyFont="1" applyFill="1" applyBorder="1" applyAlignment="1">
      <alignment vertical="center" wrapText="1"/>
    </xf>
    <xf numFmtId="0" fontId="78" fillId="0" borderId="7" xfId="3" applyFont="1" applyFill="1" applyBorder="1" applyAlignment="1">
      <alignment horizontal="left" vertical="center" wrapText="1"/>
    </xf>
    <xf numFmtId="49" fontId="51" fillId="0" borderId="1" xfId="14" applyNumberFormat="1" applyFont="1" applyFill="1" applyBorder="1" applyAlignment="1">
      <alignment horizontal="center" vertical="center" wrapText="1"/>
    </xf>
    <xf numFmtId="0" fontId="51" fillId="0" borderId="7" xfId="10" applyFont="1" applyFill="1" applyBorder="1" applyAlignment="1">
      <alignment horizontal="left" vertical="center" wrapText="1"/>
    </xf>
    <xf numFmtId="172" fontId="51" fillId="0" borderId="1" xfId="9" applyNumberFormat="1" applyFont="1" applyFill="1" applyBorder="1" applyAlignment="1">
      <alignment vertical="center" wrapText="1"/>
    </xf>
    <xf numFmtId="0" fontId="77" fillId="0" borderId="7" xfId="9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1" fillId="0" borderId="1" xfId="14" applyNumberFormat="1" applyFont="1" applyFill="1" applyBorder="1" applyAlignment="1">
      <alignment vertical="center" wrapText="1"/>
    </xf>
    <xf numFmtId="49" fontId="51" fillId="0" borderId="1" xfId="5" applyNumberFormat="1" applyFont="1" applyFill="1" applyBorder="1" applyAlignment="1">
      <alignment horizontal="left" vertical="center" wrapText="1"/>
    </xf>
    <xf numFmtId="172" fontId="77" fillId="0" borderId="1" xfId="12" applyNumberFormat="1" applyFont="1" applyFill="1" applyBorder="1" applyAlignment="1" applyProtection="1">
      <alignment horizontal="left" vertical="center" wrapText="1"/>
    </xf>
    <xf numFmtId="166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77" fillId="0" borderId="9" xfId="14" applyNumberFormat="1" applyFont="1" applyFill="1" applyBorder="1" applyAlignment="1">
      <alignment horizontal="right" vertical="center"/>
    </xf>
    <xf numFmtId="0" fontId="51" fillId="0" borderId="8" xfId="14" applyFont="1" applyFill="1" applyBorder="1" applyAlignment="1">
      <alignment horizontal="center" vertical="center"/>
    </xf>
    <xf numFmtId="172" fontId="50" fillId="0" borderId="1" xfId="9" applyNumberFormat="1" applyFont="1" applyFill="1" applyBorder="1" applyAlignment="1">
      <alignment vertical="center" wrapText="1"/>
    </xf>
    <xf numFmtId="49" fontId="71" fillId="0" borderId="1" xfId="3" applyNumberFormat="1" applyFont="1" applyFill="1" applyBorder="1" applyAlignment="1">
      <alignment horizontal="center" vertical="center" wrapText="1"/>
    </xf>
    <xf numFmtId="0" fontId="51" fillId="0" borderId="1" xfId="9" applyFont="1" applyFill="1" applyBorder="1" applyAlignment="1">
      <alignment horizontal="left" vertical="top" wrapText="1"/>
    </xf>
    <xf numFmtId="0" fontId="51" fillId="0" borderId="8" xfId="5" applyFont="1" applyFill="1" applyBorder="1" applyAlignment="1">
      <alignment vertical="center"/>
    </xf>
    <xf numFmtId="0" fontId="51" fillId="0" borderId="8" xfId="14" applyFont="1" applyFill="1" applyBorder="1" applyAlignment="1">
      <alignment vertical="center"/>
    </xf>
    <xf numFmtId="49" fontId="51" fillId="0" borderId="1" xfId="0" applyNumberFormat="1" applyFont="1" applyFill="1" applyBorder="1" applyAlignment="1">
      <alignment horizontal="center" vertical="center" wrapText="1"/>
    </xf>
    <xf numFmtId="173" fontId="51" fillId="0" borderId="1" xfId="5" applyNumberFormat="1" applyFont="1" applyFill="1" applyBorder="1" applyAlignment="1">
      <alignment horizontal="left" vertical="center" wrapText="1" indent="2"/>
    </xf>
    <xf numFmtId="168" fontId="76" fillId="0" borderId="64" xfId="0" applyNumberFormat="1" applyFont="1" applyFill="1" applyBorder="1" applyAlignment="1">
      <alignment horizontal="right" vertical="center" wrapText="1"/>
    </xf>
    <xf numFmtId="0" fontId="51" fillId="0" borderId="15" xfId="3" applyFont="1" applyFill="1" applyBorder="1" applyAlignment="1">
      <alignment vertical="top" wrapText="1"/>
    </xf>
    <xf numFmtId="0" fontId="51" fillId="0" borderId="18" xfId="3" applyFont="1" applyFill="1" applyBorder="1" applyAlignment="1">
      <alignment vertical="top" wrapText="1"/>
    </xf>
    <xf numFmtId="166" fontId="51" fillId="0" borderId="8" xfId="5" applyNumberFormat="1" applyFont="1" applyFill="1" applyBorder="1" applyAlignment="1">
      <alignment horizontal="left" vertical="center" wrapText="1"/>
    </xf>
    <xf numFmtId="0" fontId="51" fillId="0" borderId="7" xfId="9" applyFont="1" applyFill="1" applyBorder="1" applyAlignment="1">
      <alignment vertical="top" wrapText="1"/>
    </xf>
    <xf numFmtId="172" fontId="51" fillId="0" borderId="1" xfId="5" applyNumberFormat="1" applyFont="1" applyFill="1" applyBorder="1" applyAlignment="1">
      <alignment vertical="center" wrapText="1"/>
    </xf>
    <xf numFmtId="0" fontId="51" fillId="0" borderId="7" xfId="3" applyFont="1" applyFill="1" applyBorder="1" applyAlignment="1">
      <alignment vertical="top" wrapText="1"/>
    </xf>
    <xf numFmtId="0" fontId="50" fillId="0" borderId="7" xfId="3" applyFont="1" applyFill="1" applyBorder="1" applyAlignment="1">
      <alignment vertical="top" wrapText="1"/>
    </xf>
    <xf numFmtId="166" fontId="51" fillId="0" borderId="8" xfId="5" applyNumberFormat="1" applyFont="1" applyFill="1" applyBorder="1" applyAlignment="1">
      <alignment vertical="center" wrapText="1"/>
    </xf>
    <xf numFmtId="0" fontId="51" fillId="0" borderId="7" xfId="3" applyFont="1" applyFill="1" applyBorder="1" applyAlignment="1">
      <alignment horizontal="center" vertical="center" wrapText="1"/>
    </xf>
    <xf numFmtId="172" fontId="51" fillId="0" borderId="1" xfId="12" applyNumberFormat="1" applyFont="1" applyFill="1" applyBorder="1" applyAlignment="1" applyProtection="1">
      <alignment horizontal="left" vertical="center" wrapText="1"/>
    </xf>
    <xf numFmtId="49" fontId="51" fillId="0" borderId="1" xfId="12" applyNumberFormat="1" applyFont="1" applyFill="1" applyBorder="1" applyAlignment="1" applyProtection="1">
      <alignment horizontal="center" vertical="center" wrapText="1"/>
    </xf>
    <xf numFmtId="168" fontId="18" fillId="0" borderId="9" xfId="14" applyNumberFormat="1" applyFont="1" applyFill="1" applyBorder="1" applyAlignment="1">
      <alignment horizontal="right" vertical="center"/>
    </xf>
    <xf numFmtId="0" fontId="51" fillId="0" borderId="1" xfId="9" applyFont="1" applyFill="1" applyBorder="1" applyAlignment="1">
      <alignment horizontal="justify" vertical="top" wrapText="1"/>
    </xf>
    <xf numFmtId="0" fontId="77" fillId="0" borderId="1" xfId="8" applyFont="1" applyFill="1" applyBorder="1" applyAlignment="1">
      <alignment horizontal="left" vertical="center" wrapText="1"/>
    </xf>
    <xf numFmtId="0" fontId="77" fillId="0" borderId="7" xfId="3" applyFont="1" applyFill="1" applyBorder="1" applyAlignment="1">
      <alignment horizontal="left" vertical="center" wrapText="1"/>
    </xf>
    <xf numFmtId="172" fontId="18" fillId="0" borderId="1" xfId="5" applyNumberFormat="1" applyFont="1" applyFill="1" applyBorder="1" applyAlignment="1">
      <alignment horizontal="left" vertical="center" wrapText="1"/>
    </xf>
    <xf numFmtId="172" fontId="18" fillId="0" borderId="1" xfId="5" applyNumberFormat="1" applyFont="1" applyFill="1" applyBorder="1" applyAlignment="1">
      <alignment horizontal="left" vertical="center" wrapText="1" indent="2"/>
    </xf>
    <xf numFmtId="172" fontId="77" fillId="0" borderId="1" xfId="5" applyNumberFormat="1" applyFont="1" applyFill="1" applyBorder="1" applyAlignment="1">
      <alignment vertical="center" wrapText="1"/>
    </xf>
    <xf numFmtId="0" fontId="51" fillId="0" borderId="15" xfId="3" applyFont="1" applyFill="1" applyBorder="1" applyAlignment="1">
      <alignment horizontal="left" vertical="center" wrapText="1"/>
    </xf>
    <xf numFmtId="166" fontId="51" fillId="0" borderId="23" xfId="5" applyNumberFormat="1" applyFont="1" applyFill="1" applyBorder="1" applyAlignment="1">
      <alignment horizontal="left" vertical="center" wrapText="1"/>
    </xf>
    <xf numFmtId="168" fontId="18" fillId="0" borderId="34" xfId="5" applyNumberFormat="1" applyFont="1" applyFill="1" applyBorder="1" applyAlignment="1">
      <alignment horizontal="right" vertical="center" wrapText="1"/>
    </xf>
    <xf numFmtId="172" fontId="51" fillId="0" borderId="4" xfId="5" applyNumberFormat="1" applyFont="1" applyFill="1" applyBorder="1" applyAlignment="1">
      <alignment horizontal="left" vertical="center" wrapText="1" indent="2"/>
    </xf>
    <xf numFmtId="166" fontId="51" fillId="0" borderId="4" xfId="5" applyNumberFormat="1" applyFont="1" applyFill="1" applyBorder="1" applyAlignment="1">
      <alignment horizontal="left" vertical="center" wrapText="1" indent="2"/>
    </xf>
    <xf numFmtId="49" fontId="51" fillId="0" borderId="4" xfId="5" applyNumberFormat="1" applyFont="1" applyFill="1" applyBorder="1" applyAlignment="1">
      <alignment horizontal="center" vertical="center" wrapText="1"/>
    </xf>
    <xf numFmtId="168" fontId="18" fillId="0" borderId="3" xfId="5" applyNumberFormat="1" applyFont="1" applyFill="1" applyBorder="1" applyAlignment="1">
      <alignment horizontal="right" vertical="center" wrapText="1"/>
    </xf>
    <xf numFmtId="168" fontId="79" fillId="0" borderId="2" xfId="5" applyNumberFormat="1" applyFont="1" applyFill="1" applyBorder="1" applyAlignment="1">
      <alignment horizontal="right" vertical="center" wrapText="1"/>
    </xf>
    <xf numFmtId="168" fontId="58" fillId="0" borderId="1" xfId="5" applyNumberFormat="1" applyFont="1" applyFill="1" applyBorder="1" applyAlignment="1">
      <alignment horizontal="right" vertical="center" wrapText="1"/>
    </xf>
    <xf numFmtId="168" fontId="58" fillId="0" borderId="23" xfId="5" applyNumberFormat="1" applyFont="1" applyFill="1" applyBorder="1" applyAlignment="1">
      <alignment horizontal="right" vertical="center" wrapText="1"/>
    </xf>
    <xf numFmtId="168" fontId="58" fillId="0" borderId="36" xfId="5" applyNumberFormat="1" applyFont="1" applyFill="1" applyBorder="1" applyAlignment="1">
      <alignment horizontal="right" vertical="center" wrapText="1"/>
    </xf>
    <xf numFmtId="168" fontId="79" fillId="0" borderId="32" xfId="5" applyNumberFormat="1" applyFont="1" applyFill="1" applyBorder="1" applyAlignment="1">
      <alignment horizontal="right" vertical="center" wrapText="1"/>
    </xf>
    <xf numFmtId="168" fontId="79" fillId="0" borderId="1" xfId="5" applyNumberFormat="1" applyFont="1" applyFill="1" applyBorder="1" applyAlignment="1">
      <alignment horizontal="right" vertical="center" wrapText="1"/>
    </xf>
    <xf numFmtId="174" fontId="77" fillId="0" borderId="1" xfId="5" applyNumberFormat="1" applyFont="1" applyFill="1" applyBorder="1" applyAlignment="1">
      <alignment horizontal="right" vertical="center" wrapText="1"/>
    </xf>
    <xf numFmtId="174" fontId="18" fillId="0" borderId="1" xfId="5" applyNumberFormat="1" applyFont="1" applyFill="1" applyBorder="1" applyAlignment="1">
      <alignment horizontal="right" vertical="center" wrapText="1"/>
    </xf>
    <xf numFmtId="168" fontId="58" fillId="0" borderId="4" xfId="5" applyNumberFormat="1" applyFont="1" applyFill="1" applyBorder="1" applyAlignment="1">
      <alignment horizontal="right" vertical="center" wrapText="1"/>
    </xf>
    <xf numFmtId="166" fontId="58" fillId="0" borderId="0" xfId="24" applyNumberFormat="1" applyFont="1" applyFill="1" applyAlignment="1">
      <alignment horizontal="right"/>
    </xf>
    <xf numFmtId="0" fontId="32" fillId="0" borderId="0" xfId="40" applyFont="1" applyFill="1" applyAlignment="1">
      <alignment vertical="center"/>
    </xf>
    <xf numFmtId="0" fontId="37" fillId="0" borderId="0" xfId="40" applyFont="1" applyFill="1" applyAlignment="1">
      <alignment horizontal="right" vertical="center"/>
    </xf>
    <xf numFmtId="0" fontId="32" fillId="0" borderId="0" xfId="40" applyFont="1" applyFill="1" applyAlignment="1">
      <alignment horizontal="right" vertical="center"/>
    </xf>
    <xf numFmtId="168" fontId="32" fillId="0" borderId="0" xfId="40" applyNumberFormat="1" applyFont="1" applyFill="1" applyAlignment="1">
      <alignment horizontal="right" vertical="center"/>
    </xf>
    <xf numFmtId="0" fontId="12" fillId="0" borderId="0" xfId="40" applyFont="1" applyFill="1" applyAlignment="1">
      <alignment vertical="center"/>
    </xf>
    <xf numFmtId="169" fontId="26" fillId="0" borderId="1" xfId="40" applyNumberFormat="1" applyFont="1" applyFill="1" applyBorder="1" applyAlignment="1">
      <alignment horizontal="center" vertical="top" wrapText="1"/>
    </xf>
    <xf numFmtId="168" fontId="16" fillId="0" borderId="1" xfId="24" applyNumberFormat="1" applyFont="1" applyFill="1" applyBorder="1" applyAlignment="1">
      <alignment horizontal="center" vertical="center"/>
    </xf>
    <xf numFmtId="166" fontId="22" fillId="0" borderId="1" xfId="24" applyNumberFormat="1" applyFont="1" applyFill="1" applyBorder="1" applyAlignment="1">
      <alignment horizontal="right" vertical="center" wrapText="1"/>
    </xf>
    <xf numFmtId="168" fontId="22" fillId="0" borderId="1" xfId="24" applyNumberFormat="1" applyFont="1" applyFill="1" applyBorder="1" applyAlignment="1">
      <alignment horizontal="right" vertical="center" wrapText="1"/>
    </xf>
    <xf numFmtId="168" fontId="28" fillId="0" borderId="1" xfId="24" applyNumberFormat="1" applyFont="1" applyFill="1" applyBorder="1" applyAlignment="1">
      <alignment horizontal="right" vertical="center" wrapText="1"/>
    </xf>
    <xf numFmtId="168" fontId="13" fillId="0" borderId="1" xfId="24" applyNumberFormat="1" applyFont="1" applyFill="1" applyBorder="1" applyAlignment="1">
      <alignment horizontal="right" vertical="center" wrapText="1"/>
    </xf>
    <xf numFmtId="0" fontId="12" fillId="0" borderId="0" xfId="40" applyFont="1" applyFill="1"/>
    <xf numFmtId="168" fontId="12" fillId="0" borderId="1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/>
    <xf numFmtId="168" fontId="27" fillId="0" borderId="1" xfId="24" applyNumberFormat="1" applyFont="1" applyFill="1" applyBorder="1" applyAlignment="1">
      <alignment horizontal="right" vertical="center" wrapText="1"/>
    </xf>
    <xf numFmtId="168" fontId="11" fillId="0" borderId="7" xfId="24" applyNumberFormat="1" applyFont="1" applyFill="1" applyBorder="1" applyAlignment="1">
      <alignment horizontal="right" vertical="center" wrapText="1"/>
    </xf>
    <xf numFmtId="166" fontId="30" fillId="0" borderId="1" xfId="24" applyNumberFormat="1" applyFont="1" applyFill="1" applyBorder="1" applyAlignment="1">
      <alignment horizontal="right" vertical="center" wrapText="1"/>
    </xf>
    <xf numFmtId="168" fontId="30" fillId="0" borderId="1" xfId="24" applyNumberFormat="1" applyFont="1" applyFill="1" applyBorder="1" applyAlignment="1">
      <alignment horizontal="right" vertical="center" wrapText="1"/>
    </xf>
    <xf numFmtId="0" fontId="12" fillId="0" borderId="0" xfId="40" applyFont="1" applyFill="1" applyAlignment="1">
      <alignment wrapText="1"/>
    </xf>
    <xf numFmtId="168" fontId="11" fillId="0" borderId="15" xfId="24" applyNumberFormat="1" applyFont="1" applyFill="1" applyBorder="1" applyAlignment="1">
      <alignment horizontal="right" vertical="center" wrapText="1"/>
    </xf>
    <xf numFmtId="168" fontId="16" fillId="0" borderId="1" xfId="24" applyNumberFormat="1" applyFont="1" applyFill="1" applyBorder="1" applyAlignment="1">
      <alignment vertical="center" wrapText="1"/>
    </xf>
    <xf numFmtId="168" fontId="11" fillId="0" borderId="1" xfId="24" applyNumberFormat="1" applyFont="1" applyFill="1" applyBorder="1" applyAlignment="1">
      <alignment vertical="center" wrapText="1"/>
    </xf>
    <xf numFmtId="168" fontId="11" fillId="0" borderId="7" xfId="24" applyNumberFormat="1" applyFont="1" applyFill="1" applyBorder="1" applyAlignment="1">
      <alignment vertical="center" wrapText="1"/>
    </xf>
    <xf numFmtId="168" fontId="9" fillId="0" borderId="0" xfId="24" applyNumberFormat="1" applyFont="1" applyFill="1" applyAlignment="1">
      <alignment horizontal="right"/>
    </xf>
    <xf numFmtId="166" fontId="16" fillId="0" borderId="26" xfId="24" applyNumberFormat="1" applyFont="1" applyFill="1" applyBorder="1" applyAlignment="1">
      <alignment horizontal="center" vertical="center"/>
    </xf>
    <xf numFmtId="166" fontId="9" fillId="0" borderId="27" xfId="24" applyNumberFormat="1" applyFont="1" applyFill="1" applyBorder="1" applyAlignment="1">
      <alignment horizontal="right"/>
    </xf>
    <xf numFmtId="169" fontId="26" fillId="0" borderId="26" xfId="40" applyNumberFormat="1" applyFont="1" applyFill="1" applyBorder="1" applyAlignment="1">
      <alignment horizontal="center" vertical="top" wrapText="1"/>
    </xf>
    <xf numFmtId="168" fontId="16" fillId="0" borderId="25" xfId="24" applyNumberFormat="1" applyFont="1" applyFill="1" applyBorder="1" applyAlignment="1">
      <alignment horizontal="center" vertical="center"/>
    </xf>
    <xf numFmtId="49" fontId="25" fillId="0" borderId="7" xfId="40" applyNumberFormat="1" applyFont="1" applyFill="1" applyBorder="1" applyAlignment="1">
      <alignment horizontal="left" vertical="top" wrapText="1"/>
    </xf>
    <xf numFmtId="168" fontId="16" fillId="0" borderId="7" xfId="24" applyNumberFormat="1" applyFont="1" applyFill="1" applyBorder="1" applyAlignment="1">
      <alignment horizontal="right" vertical="center"/>
    </xf>
    <xf numFmtId="166" fontId="9" fillId="0" borderId="0" xfId="24" applyNumberFormat="1" applyFont="1" applyFill="1" applyBorder="1" applyAlignment="1">
      <alignment horizontal="right"/>
    </xf>
    <xf numFmtId="167" fontId="16" fillId="0" borderId="7" xfId="24" applyNumberFormat="1" applyFont="1" applyFill="1" applyBorder="1" applyAlignment="1">
      <alignment horizontal="center" vertical="center"/>
    </xf>
    <xf numFmtId="168" fontId="16" fillId="0" borderId="6" xfId="24" applyNumberFormat="1" applyFont="1" applyFill="1" applyBorder="1" applyAlignment="1">
      <alignment horizontal="right" vertical="center"/>
    </xf>
    <xf numFmtId="0" fontId="22" fillId="0" borderId="7" xfId="40" applyFont="1" applyFill="1" applyBorder="1" applyAlignment="1">
      <alignment horizontal="left" vertical="center"/>
    </xf>
    <xf numFmtId="167" fontId="16" fillId="0" borderId="7" xfId="24" applyNumberFormat="1" applyFont="1" applyFill="1" applyBorder="1" applyAlignment="1">
      <alignment vertical="center" wrapText="1"/>
    </xf>
    <xf numFmtId="168" fontId="16" fillId="0" borderId="6" xfId="24" applyNumberFormat="1" applyFont="1" applyFill="1" applyBorder="1" applyAlignment="1">
      <alignment vertical="center" wrapText="1"/>
    </xf>
    <xf numFmtId="168" fontId="11" fillId="0" borderId="9" xfId="24" applyNumberFormat="1" applyFont="1" applyFill="1" applyBorder="1" applyAlignment="1">
      <alignment horizontal="right" vertical="center" wrapText="1"/>
    </xf>
    <xf numFmtId="168" fontId="13" fillId="0" borderId="9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justify" vertical="top" wrapText="1"/>
    </xf>
    <xf numFmtId="168" fontId="16" fillId="0" borderId="9" xfId="24" applyNumberFormat="1" applyFont="1" applyFill="1" applyBorder="1" applyAlignment="1">
      <alignment horizontal="right" vertical="center" wrapText="1"/>
    </xf>
    <xf numFmtId="0" fontId="20" fillId="0" borderId="1" xfId="9" applyFont="1" applyFill="1" applyBorder="1" applyAlignment="1">
      <alignment horizontal="left" vertical="center" wrapText="1"/>
    </xf>
    <xf numFmtId="0" fontId="12" fillId="0" borderId="1" xfId="40" applyFont="1" applyFill="1" applyBorder="1" applyAlignment="1">
      <alignment horizontal="left" vertical="top" wrapText="1"/>
    </xf>
    <xf numFmtId="0" fontId="12" fillId="0" borderId="1" xfId="9" applyFont="1" applyFill="1" applyBorder="1" applyAlignment="1">
      <alignment horizontal="left" vertical="top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2" fillId="0" borderId="0" xfId="40" applyFont="1" applyFill="1" applyBorder="1"/>
    <xf numFmtId="0" fontId="12" fillId="0" borderId="1" xfId="40" applyFont="1" applyFill="1" applyBorder="1" applyAlignment="1">
      <alignment wrapText="1"/>
    </xf>
    <xf numFmtId="0" fontId="12" fillId="0" borderId="7" xfId="40" applyFont="1" applyFill="1" applyBorder="1" applyAlignment="1">
      <alignment wrapText="1"/>
    </xf>
    <xf numFmtId="168" fontId="11" fillId="0" borderId="6" xfId="24" applyNumberFormat="1" applyFont="1" applyFill="1" applyBorder="1" applyAlignment="1">
      <alignment horizontal="right" vertical="center" wrapText="1"/>
    </xf>
    <xf numFmtId="0" fontId="20" fillId="0" borderId="8" xfId="9" applyFont="1" applyFill="1" applyBorder="1" applyAlignment="1">
      <alignment horizontal="left" vertical="center" wrapText="1"/>
    </xf>
    <xf numFmtId="167" fontId="12" fillId="0" borderId="1" xfId="9" applyNumberFormat="1" applyFont="1" applyFill="1" applyBorder="1" applyAlignment="1">
      <alignment horizontal="left" vertical="center" wrapText="1"/>
    </xf>
    <xf numFmtId="168" fontId="12" fillId="0" borderId="9" xfId="9" applyNumberFormat="1" applyFont="1" applyFill="1" applyBorder="1" applyAlignment="1">
      <alignment horizontal="right" vertical="center" wrapText="1"/>
    </xf>
    <xf numFmtId="0" fontId="20" fillId="0" borderId="0" xfId="9" applyFont="1" applyFill="1" applyBorder="1" applyAlignment="1">
      <alignment horizontal="left" vertical="center" wrapText="1"/>
    </xf>
    <xf numFmtId="167" fontId="11" fillId="0" borderId="2" xfId="24" applyNumberFormat="1" applyFont="1" applyFill="1" applyBorder="1" applyAlignment="1">
      <alignment horizontal="right" vertical="center" wrapText="1"/>
    </xf>
    <xf numFmtId="165" fontId="16" fillId="0" borderId="2" xfId="24" applyFont="1" applyFill="1" applyBorder="1" applyAlignment="1">
      <alignment horizontal="right" vertical="center" wrapText="1"/>
    </xf>
    <xf numFmtId="166" fontId="16" fillId="0" borderId="2" xfId="24" applyNumberFormat="1" applyFont="1" applyFill="1" applyBorder="1" applyAlignment="1">
      <alignment horizontal="right" vertical="center" wrapText="1"/>
    </xf>
    <xf numFmtId="168" fontId="11" fillId="0" borderId="20" xfId="24" applyNumberFormat="1" applyFont="1" applyFill="1" applyBorder="1" applyAlignment="1">
      <alignment horizontal="right" vertical="center" wrapText="1"/>
    </xf>
    <xf numFmtId="0" fontId="13" fillId="0" borderId="1" xfId="40" applyFont="1" applyFill="1" applyBorder="1" applyAlignment="1">
      <alignment horizontal="left" vertical="center" wrapText="1"/>
    </xf>
    <xf numFmtId="168" fontId="16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6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40" applyFont="1" applyFill="1" applyBorder="1" applyAlignment="1">
      <alignment wrapText="1"/>
    </xf>
    <xf numFmtId="167" fontId="9" fillId="0" borderId="1" xfId="24" applyNumberFormat="1" applyFont="1" applyFill="1" applyBorder="1" applyAlignment="1">
      <alignment vertical="center"/>
    </xf>
    <xf numFmtId="166" fontId="12" fillId="0" borderId="1" xfId="24" applyNumberFormat="1" applyFont="1" applyFill="1" applyBorder="1" applyAlignment="1">
      <alignment vertical="center"/>
    </xf>
    <xf numFmtId="169" fontId="12" fillId="0" borderId="1" xfId="9" applyNumberFormat="1" applyFont="1" applyFill="1" applyBorder="1" applyAlignment="1" applyProtection="1">
      <alignment horizontal="left" vertical="center" wrapText="1"/>
    </xf>
    <xf numFmtId="0" fontId="12" fillId="0" borderId="7" xfId="40" applyFont="1" applyFill="1" applyBorder="1"/>
    <xf numFmtId="166" fontId="11" fillId="0" borderId="0" xfId="24" applyNumberFormat="1" applyFont="1" applyFill="1" applyBorder="1" applyAlignment="1">
      <alignment horizontal="right" vertical="center" wrapText="1"/>
    </xf>
    <xf numFmtId="167" fontId="11" fillId="0" borderId="0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7" fontId="16" fillId="0" borderId="9" xfId="24" applyNumberFormat="1" applyFont="1" applyFill="1" applyBorder="1" applyAlignment="1">
      <alignment horizontal="right" vertical="center" wrapText="1"/>
    </xf>
    <xf numFmtId="166" fontId="11" fillId="0" borderId="10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vertical="center" wrapText="1"/>
    </xf>
    <xf numFmtId="168" fontId="11" fillId="0" borderId="9" xfId="24" applyNumberFormat="1" applyFont="1" applyFill="1" applyBorder="1" applyAlignment="1">
      <alignment vertical="center" wrapText="1"/>
    </xf>
    <xf numFmtId="0" fontId="12" fillId="0" borderId="10" xfId="40" applyFont="1" applyFill="1" applyBorder="1"/>
    <xf numFmtId="166" fontId="13" fillId="0" borderId="1" xfId="24" applyNumberFormat="1" applyFont="1" applyFill="1" applyBorder="1" applyAlignment="1">
      <alignment horizontal="right"/>
    </xf>
    <xf numFmtId="168" fontId="13" fillId="0" borderId="9" xfId="24" applyNumberFormat="1" applyFont="1" applyFill="1" applyBorder="1" applyAlignment="1">
      <alignment horizontal="right"/>
    </xf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0" fontId="17" fillId="0" borderId="1" xfId="40" applyFont="1" applyFill="1" applyBorder="1" applyAlignment="1">
      <alignment vertical="center" wrapText="1"/>
    </xf>
    <xf numFmtId="166" fontId="13" fillId="0" borderId="2" xfId="24" applyNumberFormat="1" applyFont="1" applyFill="1" applyBorder="1" applyAlignment="1">
      <alignment horizontal="right"/>
    </xf>
    <xf numFmtId="166" fontId="9" fillId="0" borderId="2" xfId="24" applyNumberFormat="1" applyFont="1" applyFill="1" applyBorder="1" applyAlignment="1">
      <alignment horizontal="right"/>
    </xf>
    <xf numFmtId="166" fontId="14" fillId="0" borderId="2" xfId="24" applyNumberFormat="1" applyFont="1" applyFill="1" applyBorder="1" applyAlignment="1">
      <alignment horizontal="right"/>
    </xf>
    <xf numFmtId="168" fontId="13" fillId="0" borderId="20" xfId="24" applyNumberFormat="1" applyFont="1" applyFill="1" applyBorder="1" applyAlignment="1">
      <alignment horizontal="right"/>
    </xf>
    <xf numFmtId="166" fontId="9" fillId="0" borderId="1" xfId="24" applyNumberFormat="1" applyFont="1" applyFill="1" applyBorder="1" applyAlignment="1">
      <alignment horizontal="right"/>
    </xf>
    <xf numFmtId="166" fontId="11" fillId="0" borderId="4" xfId="24" applyNumberFormat="1" applyFont="1" applyFill="1" applyBorder="1" applyAlignment="1">
      <alignment horizontal="right" vertical="center" wrapText="1"/>
    </xf>
    <xf numFmtId="166" fontId="9" fillId="0" borderId="4" xfId="24" applyNumberFormat="1" applyFont="1" applyFill="1" applyBorder="1" applyAlignment="1">
      <alignment horizontal="right"/>
    </xf>
    <xf numFmtId="0" fontId="50" fillId="0" borderId="29" xfId="5" applyFont="1" applyFill="1" applyBorder="1" applyAlignment="1">
      <alignment horizontal="center" vertical="center" wrapText="1"/>
    </xf>
    <xf numFmtId="172" fontId="50" fillId="0" borderId="26" xfId="5" applyNumberFormat="1" applyFont="1" applyFill="1" applyBorder="1" applyAlignment="1">
      <alignment horizontal="center" vertical="center" wrapText="1"/>
    </xf>
    <xf numFmtId="166" fontId="50" fillId="0" borderId="26" xfId="5" applyNumberFormat="1" applyFont="1" applyFill="1" applyBorder="1" applyAlignment="1">
      <alignment horizontal="center" vertical="center" wrapText="1"/>
    </xf>
    <xf numFmtId="49" fontId="50" fillId="0" borderId="26" xfId="5" applyNumberFormat="1" applyFont="1" applyFill="1" applyBorder="1" applyAlignment="1">
      <alignment horizontal="center" vertical="center" wrapText="1"/>
    </xf>
    <xf numFmtId="168" fontId="50" fillId="0" borderId="26" xfId="5" applyNumberFormat="1" applyFont="1" applyFill="1" applyBorder="1" applyAlignment="1">
      <alignment horizontal="center" vertical="center" wrapText="1"/>
    </xf>
    <xf numFmtId="168" fontId="50" fillId="0" borderId="25" xfId="5" applyNumberFormat="1" applyFont="1" applyFill="1" applyBorder="1" applyAlignment="1">
      <alignment horizontal="center" vertical="center" wrapText="1"/>
    </xf>
    <xf numFmtId="0" fontId="12" fillId="0" borderId="24" xfId="5" applyFont="1" applyFill="1" applyBorder="1" applyAlignment="1">
      <alignment horizontal="center" vertical="center"/>
    </xf>
    <xf numFmtId="172" fontId="13" fillId="0" borderId="23" xfId="5" applyNumberFormat="1" applyFont="1" applyFill="1" applyBorder="1" applyAlignment="1">
      <alignment horizontal="left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168" fontId="13" fillId="0" borderId="34" xfId="5" applyNumberFormat="1" applyFont="1" applyFill="1" applyBorder="1" applyAlignment="1">
      <alignment horizontal="right" vertical="center" wrapText="1"/>
    </xf>
    <xf numFmtId="0" fontId="50" fillId="0" borderId="61" xfId="5" applyFont="1" applyFill="1" applyBorder="1" applyAlignment="1">
      <alignment horizontal="center" vertical="center"/>
    </xf>
    <xf numFmtId="0" fontId="50" fillId="0" borderId="62" xfId="8" applyFont="1" applyFill="1" applyBorder="1" applyAlignment="1">
      <alignment horizontal="left" vertical="center" wrapText="1"/>
    </xf>
    <xf numFmtId="49" fontId="50" fillId="0" borderId="62" xfId="5" applyNumberFormat="1" applyFont="1" applyFill="1" applyBorder="1" applyAlignment="1">
      <alignment horizontal="center" vertical="center" wrapText="1"/>
    </xf>
    <xf numFmtId="168" fontId="50" fillId="0" borderId="62" xfId="5" applyNumberFormat="1" applyFont="1" applyFill="1" applyBorder="1" applyAlignment="1">
      <alignment horizontal="right" vertical="center" wrapText="1"/>
    </xf>
    <xf numFmtId="168" fontId="50" fillId="0" borderId="63" xfId="5" applyNumberFormat="1" applyFont="1" applyFill="1" applyBorder="1" applyAlignment="1">
      <alignment horizontal="right" vertical="center"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12" fillId="0" borderId="9" xfId="3" applyNumberFormat="1" applyFont="1" applyFill="1" applyBorder="1"/>
    <xf numFmtId="172" fontId="50" fillId="0" borderId="2" xfId="5" applyNumberFormat="1" applyFont="1" applyFill="1" applyBorder="1" applyAlignment="1">
      <alignment horizontal="left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168" fontId="51" fillId="0" borderId="1" xfId="5" applyNumberFormat="1" applyFont="1" applyFill="1" applyBorder="1" applyAlignment="1">
      <alignment horizontal="right" vertical="center"/>
    </xf>
    <xf numFmtId="168" fontId="51" fillId="0" borderId="9" xfId="5" applyNumberFormat="1" applyFont="1" applyFill="1" applyBorder="1" applyAlignment="1">
      <alignment horizontal="right" vertical="center"/>
    </xf>
    <xf numFmtId="49" fontId="51" fillId="0" borderId="1" xfId="5" applyNumberFormat="1" applyFont="1" applyFill="1" applyBorder="1" applyAlignment="1">
      <alignment horizontal="center" vertical="top" wrapText="1"/>
    </xf>
    <xf numFmtId="168" fontId="51" fillId="0" borderId="23" xfId="5" applyNumberFormat="1" applyFont="1" applyFill="1" applyBorder="1" applyAlignment="1">
      <alignment horizontal="right" vertical="center"/>
    </xf>
    <xf numFmtId="168" fontId="51" fillId="0" borderId="34" xfId="5" applyNumberFormat="1" applyFont="1" applyFill="1" applyBorder="1" applyAlignment="1">
      <alignment horizontal="right" vertical="center"/>
    </xf>
    <xf numFmtId="172" fontId="50" fillId="0" borderId="32" xfId="5" applyNumberFormat="1" applyFont="1" applyFill="1" applyBorder="1" applyAlignment="1">
      <alignment horizontal="left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168" fontId="50" fillId="0" borderId="31" xfId="5" applyNumberFormat="1" applyFont="1" applyFill="1" applyBorder="1" applyAlignment="1">
      <alignment horizontal="right" vertical="center" wrapText="1"/>
    </xf>
    <xf numFmtId="0" fontId="50" fillId="0" borderId="0" xfId="9" applyFont="1" applyFill="1" applyBorder="1" applyAlignment="1">
      <alignment wrapText="1"/>
    </xf>
    <xf numFmtId="168" fontId="51" fillId="0" borderId="1" xfId="5" applyNumberFormat="1" applyFont="1" applyFill="1" applyBorder="1" applyAlignment="1">
      <alignment horizontal="right" vertical="center" wrapText="1"/>
    </xf>
    <xf numFmtId="168" fontId="51" fillId="0" borderId="9" xfId="5" applyNumberFormat="1" applyFont="1" applyFill="1" applyBorder="1" applyAlignment="1">
      <alignment horizontal="right" vertical="center" wrapText="1"/>
    </xf>
    <xf numFmtId="0" fontId="71" fillId="0" borderId="7" xfId="3" applyFont="1" applyFill="1" applyBorder="1" applyAlignment="1">
      <alignment horizontal="lef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80" fillId="0" borderId="7" xfId="3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/>
    </xf>
    <xf numFmtId="0" fontId="81" fillId="0" borderId="7" xfId="3" applyFont="1" applyFill="1" applyBorder="1" applyAlignment="1">
      <alignment horizontal="left" vertical="center" wrapText="1"/>
    </xf>
    <xf numFmtId="49" fontId="51" fillId="0" borderId="1" xfId="14" applyNumberFormat="1" applyFont="1" applyFill="1" applyBorder="1" applyAlignment="1">
      <alignment horizontal="center" vertical="top" wrapText="1"/>
    </xf>
    <xf numFmtId="173" fontId="12" fillId="0" borderId="1" xfId="11" applyNumberFormat="1" applyFont="1" applyFill="1" applyBorder="1" applyAlignment="1" applyProtection="1">
      <alignment horizontal="left" vertical="top" wrapText="1"/>
    </xf>
    <xf numFmtId="0" fontId="78" fillId="0" borderId="7" xfId="9" applyFont="1" applyFill="1" applyBorder="1" applyAlignment="1">
      <alignment horizontal="left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168" fontId="80" fillId="0" borderId="1" xfId="14" applyNumberFormat="1" applyFont="1" applyFill="1" applyBorder="1" applyAlignment="1">
      <alignment horizontal="right" vertical="center"/>
    </xf>
    <xf numFmtId="168" fontId="80" fillId="0" borderId="9" xfId="14" applyNumberFormat="1" applyFont="1" applyFill="1" applyBorder="1" applyAlignment="1">
      <alignment horizontal="right" vertical="center"/>
    </xf>
    <xf numFmtId="0" fontId="71" fillId="0" borderId="8" xfId="14" applyFont="1" applyFill="1" applyBorder="1" applyAlignment="1">
      <alignment horizontal="center" vertical="center"/>
    </xf>
    <xf numFmtId="0" fontId="71" fillId="0" borderId="8" xfId="14" applyFont="1" applyFill="1" applyBorder="1" applyAlignment="1">
      <alignment vertical="center"/>
    </xf>
    <xf numFmtId="0" fontId="71" fillId="0" borderId="15" xfId="3" applyFont="1" applyFill="1" applyBorder="1" applyAlignment="1">
      <alignment vertical="top" wrapText="1"/>
    </xf>
    <xf numFmtId="0" fontId="71" fillId="0" borderId="18" xfId="3" applyFont="1" applyFill="1" applyBorder="1" applyAlignment="1">
      <alignment vertical="top" wrapText="1"/>
    </xf>
    <xf numFmtId="0" fontId="71" fillId="0" borderId="7" xfId="3" applyFont="1" applyFill="1" applyBorder="1" applyAlignment="1">
      <alignment vertical="top" wrapText="1"/>
    </xf>
    <xf numFmtId="168" fontId="71" fillId="0" borderId="1" xfId="14" applyNumberFormat="1" applyFont="1" applyFill="1" applyBorder="1" applyAlignment="1">
      <alignment horizontal="right" vertical="center"/>
    </xf>
    <xf numFmtId="168" fontId="71" fillId="0" borderId="9" xfId="14" applyNumberFormat="1" applyFont="1" applyFill="1" applyBorder="1" applyAlignment="1">
      <alignment horizontal="right" vertical="center"/>
    </xf>
    <xf numFmtId="172" fontId="51" fillId="0" borderId="2" xfId="5" applyNumberFormat="1" applyFont="1" applyFill="1" applyBorder="1" applyAlignment="1">
      <alignment horizontal="left" vertical="center" wrapText="1" indent="2"/>
    </xf>
    <xf numFmtId="166" fontId="51" fillId="0" borderId="2" xfId="5" applyNumberFormat="1" applyFont="1" applyFill="1" applyBorder="1" applyAlignment="1">
      <alignment horizontal="left" vertical="center" wrapText="1" indent="2"/>
    </xf>
    <xf numFmtId="49" fontId="51" fillId="0" borderId="2" xfId="5" applyNumberFormat="1" applyFont="1" applyFill="1" applyBorder="1" applyAlignment="1">
      <alignment horizontal="center" vertical="center" wrapText="1"/>
    </xf>
    <xf numFmtId="168" fontId="51" fillId="0" borderId="2" xfId="5" applyNumberFormat="1" applyFont="1" applyFill="1" applyBorder="1" applyAlignment="1">
      <alignment horizontal="right" vertical="center" wrapText="1"/>
    </xf>
    <xf numFmtId="168" fontId="51" fillId="0" borderId="20" xfId="5" applyNumberFormat="1" applyFont="1" applyFill="1" applyBorder="1" applyAlignment="1">
      <alignment horizontal="right" vertical="center" wrapText="1"/>
    </xf>
    <xf numFmtId="0" fontId="51" fillId="0" borderId="5" xfId="5" applyFont="1" applyFill="1" applyBorder="1" applyAlignment="1">
      <alignment vertical="center"/>
    </xf>
    <xf numFmtId="168" fontId="51" fillId="0" borderId="4" xfId="5" applyNumberFormat="1" applyFont="1" applyFill="1" applyBorder="1" applyAlignment="1">
      <alignment horizontal="right" vertical="center" wrapText="1"/>
    </xf>
    <xf numFmtId="168" fontId="82" fillId="0" borderId="4" xfId="5" applyNumberFormat="1" applyFont="1" applyFill="1" applyBorder="1" applyAlignment="1">
      <alignment horizontal="right" vertical="center" wrapText="1"/>
    </xf>
    <xf numFmtId="168" fontId="51" fillId="0" borderId="3" xfId="5" applyNumberFormat="1" applyFont="1" applyFill="1" applyBorder="1" applyAlignment="1">
      <alignment horizontal="right" vertical="center" wrapText="1"/>
    </xf>
    <xf numFmtId="172" fontId="51" fillId="0" borderId="2" xfId="5" applyNumberFormat="1" applyFont="1" applyFill="1" applyBorder="1" applyAlignment="1">
      <alignment horizontal="left" vertical="center" wrapText="1"/>
    </xf>
    <xf numFmtId="166" fontId="51" fillId="0" borderId="2" xfId="5" applyNumberFormat="1" applyFont="1" applyFill="1" applyBorder="1" applyAlignment="1">
      <alignment horizontal="left" vertical="center" wrapText="1"/>
    </xf>
    <xf numFmtId="0" fontId="51" fillId="0" borderId="24" xfId="5" applyFont="1" applyFill="1" applyBorder="1" applyAlignment="1">
      <alignment vertical="center"/>
    </xf>
    <xf numFmtId="168" fontId="51" fillId="0" borderId="23" xfId="5" applyNumberFormat="1" applyFont="1" applyFill="1" applyBorder="1" applyAlignment="1">
      <alignment horizontal="right" vertical="center" wrapText="1"/>
    </xf>
    <xf numFmtId="168" fontId="51" fillId="0" borderId="34" xfId="5" applyNumberFormat="1" applyFont="1" applyFill="1" applyBorder="1" applyAlignment="1">
      <alignment horizontal="right" vertical="center" wrapText="1"/>
    </xf>
    <xf numFmtId="49" fontId="51" fillId="0" borderId="32" xfId="5" applyNumberFormat="1" applyFont="1" applyFill="1" applyBorder="1" applyAlignment="1">
      <alignment horizontal="center" vertical="center" wrapText="1"/>
    </xf>
    <xf numFmtId="168" fontId="51" fillId="0" borderId="32" xfId="5" applyNumberFormat="1" applyFont="1" applyFill="1" applyBorder="1" applyAlignment="1">
      <alignment horizontal="right" vertical="center" wrapText="1"/>
    </xf>
    <xf numFmtId="0" fontId="51" fillId="0" borderId="5" xfId="5" applyFont="1" applyFill="1" applyBorder="1" applyAlignment="1">
      <alignment horizontal="center" vertical="center"/>
    </xf>
    <xf numFmtId="0" fontId="12" fillId="0" borderId="0" xfId="3" applyFont="1" applyFill="1"/>
    <xf numFmtId="0" fontId="12" fillId="0" borderId="0" xfId="3" applyFont="1" applyFill="1" applyAlignment="1">
      <alignment horizontal="left" vertical="center"/>
    </xf>
    <xf numFmtId="0" fontId="12" fillId="0" borderId="0" xfId="3" applyFont="1" applyFill="1" applyAlignment="1">
      <alignment horizontal="center"/>
    </xf>
    <xf numFmtId="0" fontId="12" fillId="0" borderId="0" xfId="3" applyFont="1" applyFill="1" applyAlignment="1">
      <alignment horizontal="center" vertical="center"/>
    </xf>
    <xf numFmtId="166" fontId="12" fillId="0" borderId="0" xfId="24" applyNumberFormat="1" applyFont="1" applyFill="1" applyAlignment="1">
      <alignment horizontal="right"/>
    </xf>
    <xf numFmtId="0" fontId="7" fillId="0" borderId="0" xfId="39" applyFill="1"/>
    <xf numFmtId="168" fontId="15" fillId="0" borderId="7" xfId="3" applyNumberFormat="1" applyFont="1" applyFill="1" applyBorder="1" applyAlignment="1">
      <alignment horizontal="center" vertical="center" wrapText="1"/>
    </xf>
    <xf numFmtId="166" fontId="16" fillId="0" borderId="13" xfId="34" applyNumberFormat="1" applyFont="1" applyFill="1" applyBorder="1" applyAlignment="1">
      <alignment horizontal="right" vertical="center" wrapText="1"/>
    </xf>
    <xf numFmtId="166" fontId="11" fillId="0" borderId="13" xfId="34" applyNumberFormat="1" applyFont="1" applyFill="1" applyBorder="1" applyAlignment="1">
      <alignment horizontal="right" vertical="center" wrapText="1"/>
    </xf>
    <xf numFmtId="166" fontId="11" fillId="0" borderId="23" xfId="24" applyNumberFormat="1" applyFont="1" applyFill="1" applyBorder="1" applyAlignment="1">
      <alignment horizontal="right" vertical="center" wrapText="1"/>
    </xf>
    <xf numFmtId="4" fontId="9" fillId="0" borderId="0" xfId="3" applyNumberFormat="1" applyFont="1" applyFill="1"/>
    <xf numFmtId="0" fontId="86" fillId="0" borderId="0" xfId="3" applyFont="1" applyFill="1"/>
    <xf numFmtId="4" fontId="86" fillId="0" borderId="0" xfId="3" applyNumberFormat="1" applyFont="1" applyFill="1"/>
    <xf numFmtId="0" fontId="9" fillId="0" borderId="0" xfId="3" applyNumberFormat="1" applyFont="1" applyFill="1"/>
    <xf numFmtId="0" fontId="87" fillId="0" borderId="0" xfId="3" applyFont="1" applyFill="1"/>
    <xf numFmtId="166" fontId="12" fillId="0" borderId="1" xfId="3" applyNumberFormat="1" applyFont="1" applyFill="1" applyBorder="1" applyAlignment="1">
      <alignment horizontal="right" vertical="center" wrapText="1"/>
    </xf>
    <xf numFmtId="166" fontId="12" fillId="0" borderId="0" xfId="24" applyNumberFormat="1" applyFont="1" applyAlignment="1">
      <alignment horizontal="right" vertical="center"/>
    </xf>
    <xf numFmtId="0" fontId="12" fillId="0" borderId="1" xfId="3" applyFont="1" applyFill="1" applyBorder="1" applyAlignment="1">
      <alignment horizontal="center" vertical="top" wrapText="1"/>
    </xf>
    <xf numFmtId="0" fontId="12" fillId="0" borderId="13" xfId="3" applyFont="1" applyFill="1" applyBorder="1" applyAlignment="1">
      <alignment horizontal="center" vertical="center" wrapText="1"/>
    </xf>
    <xf numFmtId="166" fontId="12" fillId="0" borderId="16" xfId="24" applyNumberFormat="1" applyFont="1" applyBorder="1" applyAlignment="1">
      <alignment horizontal="right" vertical="center"/>
    </xf>
    <xf numFmtId="166" fontId="12" fillId="0" borderId="0" xfId="24" applyNumberFormat="1" applyFont="1" applyBorder="1" applyAlignment="1">
      <alignment horizontal="right"/>
    </xf>
    <xf numFmtId="166" fontId="12" fillId="0" borderId="10" xfId="24" applyNumberFormat="1" applyFont="1" applyBorder="1" applyAlignment="1">
      <alignment horizontal="right"/>
    </xf>
    <xf numFmtId="0" fontId="89" fillId="0" borderId="0" xfId="7" applyFont="1" applyFill="1" applyAlignment="1"/>
    <xf numFmtId="0" fontId="90" fillId="0" borderId="0" xfId="9" applyFont="1" applyFill="1" applyAlignment="1">
      <alignment vertical="center"/>
    </xf>
    <xf numFmtId="0" fontId="89" fillId="0" borderId="0" xfId="7" applyFont="1" applyFill="1" applyAlignment="1">
      <alignment horizontal="right" vertical="center"/>
    </xf>
    <xf numFmtId="0" fontId="14" fillId="0" borderId="0" xfId="3" applyFont="1" applyFill="1" applyAlignment="1">
      <alignment horizontal="center" vertical="center"/>
    </xf>
    <xf numFmtId="0" fontId="89" fillId="0" borderId="0" xfId="7" applyFont="1" applyFill="1" applyAlignment="1">
      <alignment horizontal="right"/>
    </xf>
    <xf numFmtId="0" fontId="25" fillId="0" borderId="0" xfId="8" applyFont="1" applyFill="1" applyAlignment="1">
      <alignment horizontal="right"/>
    </xf>
    <xf numFmtId="0" fontId="25" fillId="0" borderId="0" xfId="9" applyFont="1" applyFill="1" applyAlignment="1">
      <alignment horizontal="right" vertical="center"/>
    </xf>
    <xf numFmtId="0" fontId="13" fillId="0" borderId="0" xfId="9" applyFont="1" applyFill="1" applyAlignment="1">
      <alignment vertical="center"/>
    </xf>
    <xf numFmtId="0" fontId="91" fillId="0" borderId="0" xfId="3" applyFont="1" applyFill="1"/>
    <xf numFmtId="168" fontId="91" fillId="0" borderId="0" xfId="3" applyNumberFormat="1" applyFont="1" applyFill="1"/>
    <xf numFmtId="0" fontId="14" fillId="0" borderId="0" xfId="3" applyFont="1" applyFill="1" applyAlignment="1">
      <alignment horizontal="center"/>
    </xf>
    <xf numFmtId="0" fontId="93" fillId="0" borderId="0" xfId="3" applyFont="1" applyFill="1"/>
    <xf numFmtId="0" fontId="88" fillId="0" borderId="0" xfId="39" applyFont="1" applyFill="1"/>
    <xf numFmtId="179" fontId="77" fillId="0" borderId="9" xfId="5" applyNumberFormat="1" applyFont="1" applyFill="1" applyBorder="1" applyAlignment="1">
      <alignment horizontal="right" vertical="center"/>
    </xf>
    <xf numFmtId="0" fontId="36" fillId="0" borderId="0" xfId="7" applyFont="1" applyFill="1" applyAlignment="1">
      <alignment horizontal="right"/>
    </xf>
    <xf numFmtId="0" fontId="32" fillId="0" borderId="0" xfId="9" applyFont="1" applyFill="1" applyAlignment="1">
      <alignment horizontal="right" vertical="center"/>
    </xf>
    <xf numFmtId="168" fontId="14" fillId="0" borderId="0" xfId="3" applyNumberFormat="1" applyFont="1" applyFill="1"/>
    <xf numFmtId="165" fontId="50" fillId="0" borderId="1" xfId="1" applyFont="1" applyFill="1" applyBorder="1" applyAlignment="1">
      <alignment horizontal="right"/>
    </xf>
    <xf numFmtId="0" fontId="0" fillId="0" borderId="0" xfId="0" applyFill="1"/>
    <xf numFmtId="0" fontId="92" fillId="0" borderId="0" xfId="39" applyFont="1" applyFill="1"/>
    <xf numFmtId="0" fontId="94" fillId="0" borderId="0" xfId="39" applyFont="1" applyFill="1"/>
    <xf numFmtId="168" fontId="95" fillId="0" borderId="1" xfId="39" applyNumberFormat="1" applyFont="1" applyFill="1" applyBorder="1"/>
    <xf numFmtId="168" fontId="51" fillId="0" borderId="1" xfId="0" applyNumberFormat="1" applyFont="1" applyFill="1" applyBorder="1"/>
    <xf numFmtId="0" fontId="14" fillId="0" borderId="0" xfId="0" applyFont="1" applyFill="1"/>
    <xf numFmtId="0" fontId="93" fillId="0" borderId="0" xfId="0" applyFont="1" applyFill="1"/>
    <xf numFmtId="0" fontId="86" fillId="0" borderId="0" xfId="0" applyFont="1" applyFill="1"/>
    <xf numFmtId="0" fontId="76" fillId="0" borderId="2" xfId="0" applyFont="1" applyFill="1" applyBorder="1" applyAlignment="1">
      <alignment horizontal="left" vertical="center" wrapText="1"/>
    </xf>
    <xf numFmtId="166" fontId="11" fillId="0" borderId="2" xfId="24" applyNumberFormat="1" applyFont="1" applyFill="1" applyBorder="1" applyAlignment="1">
      <alignment horizontal="right" vertical="center" wrapText="1"/>
    </xf>
    <xf numFmtId="0" fontId="9" fillId="0" borderId="24" xfId="3" applyFont="1" applyFill="1" applyBorder="1"/>
    <xf numFmtId="166" fontId="9" fillId="0" borderId="23" xfId="24" applyNumberFormat="1" applyFont="1" applyFill="1" applyBorder="1" applyAlignment="1">
      <alignment horizontal="right"/>
    </xf>
    <xf numFmtId="166" fontId="11" fillId="0" borderId="16" xfId="24" applyNumberFormat="1" applyFont="1" applyFill="1" applyBorder="1" applyAlignment="1">
      <alignment horizontal="right" vertical="center" wrapText="1"/>
    </xf>
    <xf numFmtId="0" fontId="51" fillId="0" borderId="18" xfId="37" applyFont="1" applyFill="1" applyBorder="1" applyAlignment="1">
      <alignment horizontal="left" vertical="center" wrapText="1"/>
    </xf>
    <xf numFmtId="166" fontId="16" fillId="0" borderId="7" xfId="24" applyNumberFormat="1" applyFont="1" applyFill="1" applyBorder="1" applyAlignment="1">
      <alignment horizontal="right" vertical="center" wrapText="1"/>
    </xf>
    <xf numFmtId="168" fontId="16" fillId="0" borderId="6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/>
    </xf>
    <xf numFmtId="168" fontId="13" fillId="0" borderId="1" xfId="24" applyNumberFormat="1" applyFont="1" applyFill="1" applyBorder="1" applyAlignment="1">
      <alignment horizontal="right"/>
    </xf>
    <xf numFmtId="167" fontId="16" fillId="0" borderId="6" xfId="24" applyNumberFormat="1" applyFont="1" applyFill="1" applyBorder="1" applyAlignment="1">
      <alignment horizontal="center" vertical="center"/>
    </xf>
    <xf numFmtId="0" fontId="12" fillId="0" borderId="5" xfId="3" applyFont="1" applyFill="1" applyBorder="1"/>
    <xf numFmtId="0" fontId="12" fillId="0" borderId="4" xfId="9" applyFont="1" applyFill="1" applyBorder="1"/>
    <xf numFmtId="0" fontId="12" fillId="0" borderId="4" xfId="3" applyFont="1" applyFill="1" applyBorder="1" applyAlignment="1">
      <alignment horizontal="center"/>
    </xf>
    <xf numFmtId="0" fontId="12" fillId="0" borderId="4" xfId="3" applyFont="1" applyFill="1" applyBorder="1" applyAlignment="1">
      <alignment horizontal="center" vertical="center"/>
    </xf>
    <xf numFmtId="168" fontId="15" fillId="0" borderId="59" xfId="3" applyNumberFormat="1" applyFont="1" applyFill="1" applyBorder="1" applyAlignment="1">
      <alignment horizontal="center" vertical="center" wrapText="1"/>
    </xf>
    <xf numFmtId="168" fontId="12" fillId="0" borderId="4" xfId="3" applyNumberFormat="1" applyFont="1" applyFill="1" applyBorder="1"/>
    <xf numFmtId="168" fontId="12" fillId="0" borderId="59" xfId="3" applyNumberFormat="1" applyFont="1" applyFill="1" applyBorder="1" applyAlignment="1">
      <alignment horizontal="right" vertical="center" wrapText="1"/>
    </xf>
    <xf numFmtId="174" fontId="11" fillId="0" borderId="59" xfId="24" applyNumberFormat="1" applyFont="1" applyFill="1" applyBorder="1" applyAlignment="1">
      <alignment horizontal="right" vertical="center" wrapText="1"/>
    </xf>
    <xf numFmtId="166" fontId="11" fillId="0" borderId="51" xfId="34" applyNumberFormat="1" applyFont="1" applyFill="1" applyBorder="1" applyAlignment="1">
      <alignment horizontal="right" vertical="center" wrapText="1"/>
    </xf>
    <xf numFmtId="168" fontId="12" fillId="0" borderId="4" xfId="24" applyNumberFormat="1" applyFont="1" applyFill="1" applyBorder="1" applyAlignment="1">
      <alignment horizontal="right"/>
    </xf>
    <xf numFmtId="168" fontId="12" fillId="0" borderId="3" xfId="24" applyNumberFormat="1" applyFont="1" applyFill="1" applyBorder="1" applyAlignment="1">
      <alignment horizontal="right"/>
    </xf>
    <xf numFmtId="172" fontId="51" fillId="0" borderId="66" xfId="5" applyNumberFormat="1" applyFont="1" applyFill="1" applyBorder="1" applyAlignment="1">
      <alignment horizontal="left" vertical="center" wrapText="1" indent="2"/>
    </xf>
    <xf numFmtId="49" fontId="51" fillId="0" borderId="66" xfId="0" applyNumberFormat="1" applyFont="1" applyFill="1" applyBorder="1" applyAlignment="1">
      <alignment horizontal="center" vertical="center" wrapText="1"/>
    </xf>
    <xf numFmtId="49" fontId="15" fillId="0" borderId="7" xfId="3" applyNumberFormat="1" applyFont="1" applyFill="1" applyBorder="1" applyAlignment="1">
      <alignment horizontal="center" vertical="center" wrapText="1"/>
    </xf>
    <xf numFmtId="0" fontId="12" fillId="0" borderId="1" xfId="9" applyFont="1" applyFill="1" applyBorder="1" applyAlignment="1">
      <alignment horizontal="left" vertical="center" wrapText="1"/>
    </xf>
    <xf numFmtId="0" fontId="12" fillId="0" borderId="1" xfId="9" applyNumberFormat="1" applyFont="1" applyFill="1" applyBorder="1" applyAlignment="1" applyProtection="1">
      <alignment horizontal="left" vertical="center" wrapText="1"/>
    </xf>
    <xf numFmtId="0" fontId="12" fillId="0" borderId="2" xfId="3" applyFont="1" applyFill="1" applyBorder="1" applyAlignment="1">
      <alignment horizontal="center" vertical="center"/>
    </xf>
    <xf numFmtId="0" fontId="14" fillId="0" borderId="57" xfId="3" applyFont="1" applyFill="1" applyBorder="1" applyAlignment="1">
      <alignment horizontal="center" vertical="center"/>
    </xf>
    <xf numFmtId="0" fontId="9" fillId="0" borderId="57" xfId="3" applyFont="1" applyFill="1" applyBorder="1"/>
    <xf numFmtId="168" fontId="16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2" fillId="0" borderId="23" xfId="40" applyFont="1" applyFill="1" applyBorder="1"/>
    <xf numFmtId="49" fontId="11" fillId="0" borderId="23" xfId="3" applyNumberFormat="1" applyFont="1" applyFill="1" applyBorder="1" applyAlignment="1">
      <alignment horizontal="center" vertical="center" wrapText="1"/>
    </xf>
    <xf numFmtId="0" fontId="11" fillId="0" borderId="23" xfId="3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49" fontId="14" fillId="0" borderId="1" xfId="5" applyNumberFormat="1" applyFont="1" applyFill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left" vertical="center" wrapText="1"/>
    </xf>
    <xf numFmtId="49" fontId="85" fillId="0" borderId="1" xfId="5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72" fontId="58" fillId="0" borderId="1" xfId="5" applyNumberFormat="1" applyFont="1" applyFill="1" applyBorder="1" applyAlignment="1">
      <alignment horizontal="left" vertical="center" wrapText="1"/>
    </xf>
    <xf numFmtId="172" fontId="58" fillId="0" borderId="1" xfId="5" applyNumberFormat="1" applyFont="1" applyFill="1" applyBorder="1" applyAlignment="1">
      <alignment horizontal="left" vertical="center" wrapText="1" indent="2"/>
    </xf>
    <xf numFmtId="49" fontId="9" fillId="0" borderId="1" xfId="5" applyNumberFormat="1" applyFont="1" applyFill="1" applyBorder="1" applyAlignment="1">
      <alignment horizontal="center" vertical="center" wrapText="1"/>
    </xf>
    <xf numFmtId="0" fontId="22" fillId="0" borderId="1" xfId="40" applyFont="1" applyFill="1" applyBorder="1" applyAlignment="1">
      <alignment horizontal="left" vertical="center"/>
    </xf>
    <xf numFmtId="0" fontId="9" fillId="0" borderId="35" xfId="3" applyFont="1" applyFill="1" applyBorder="1"/>
    <xf numFmtId="49" fontId="11" fillId="9" borderId="1" xfId="3" applyNumberFormat="1" applyFont="1" applyFill="1" applyBorder="1" applyAlignment="1">
      <alignment horizontal="center" vertical="center" wrapText="1"/>
    </xf>
    <xf numFmtId="49" fontId="16" fillId="9" borderId="1" xfId="3" applyNumberFormat="1" applyFont="1" applyFill="1" applyBorder="1" applyAlignment="1">
      <alignment horizontal="center" vertical="center" wrapText="1"/>
    </xf>
    <xf numFmtId="49" fontId="16" fillId="9" borderId="2" xfId="3" applyNumberFormat="1" applyFont="1" applyFill="1" applyBorder="1" applyAlignment="1">
      <alignment horizontal="center" vertical="center" wrapText="1"/>
    </xf>
    <xf numFmtId="49" fontId="11" fillId="9" borderId="2" xfId="3" applyNumberFormat="1" applyFont="1" applyFill="1" applyBorder="1" applyAlignment="1">
      <alignment horizontal="center" vertical="center" wrapText="1"/>
    </xf>
    <xf numFmtId="49" fontId="51" fillId="9" borderId="1" xfId="5" applyNumberFormat="1" applyFont="1" applyFill="1" applyBorder="1" applyAlignment="1">
      <alignment horizontal="center" vertical="center" wrapText="1"/>
    </xf>
    <xf numFmtId="0" fontId="36" fillId="0" borderId="0" xfId="7" applyFont="1" applyFill="1" applyAlignment="1">
      <alignment horizontal="right"/>
    </xf>
    <xf numFmtId="0" fontId="32" fillId="0" borderId="0" xfId="9" applyFont="1" applyFill="1" applyAlignment="1">
      <alignment horizontal="right" vertical="center"/>
    </xf>
    <xf numFmtId="49" fontId="11" fillId="0" borderId="23" xfId="0" applyNumberFormat="1" applyFont="1" applyFill="1" applyBorder="1" applyAlignment="1">
      <alignment horizontal="center" vertical="center" wrapText="1"/>
    </xf>
    <xf numFmtId="49" fontId="71" fillId="0" borderId="23" xfId="0" applyNumberFormat="1" applyFont="1" applyFill="1" applyBorder="1" applyAlignment="1">
      <alignment horizontal="center" vertical="center" wrapText="1"/>
    </xf>
    <xf numFmtId="0" fontId="12" fillId="0" borderId="18" xfId="0" applyFont="1" applyFill="1" applyBorder="1"/>
    <xf numFmtId="168" fontId="18" fillId="0" borderId="6" xfId="5" applyNumberFormat="1" applyFont="1" applyFill="1" applyBorder="1" applyAlignment="1">
      <alignment horizontal="right" vertical="center" wrapText="1"/>
    </xf>
    <xf numFmtId="49" fontId="51" fillId="0" borderId="23" xfId="14" applyNumberFormat="1" applyFont="1" applyFill="1" applyBorder="1" applyAlignment="1">
      <alignment horizontal="center" vertical="center" wrapText="1"/>
    </xf>
    <xf numFmtId="0" fontId="80" fillId="0" borderId="1" xfId="0" applyFont="1" applyFill="1" applyBorder="1" applyAlignment="1">
      <alignment horizontal="left" vertical="center" wrapText="1"/>
    </xf>
    <xf numFmtId="0" fontId="81" fillId="0" borderId="1" xfId="0" applyFont="1" applyFill="1" applyBorder="1" applyAlignment="1">
      <alignment horizontal="left" vertical="center" wrapText="1"/>
    </xf>
    <xf numFmtId="49" fontId="78" fillId="0" borderId="1" xfId="5" applyNumberFormat="1" applyFont="1" applyFill="1" applyBorder="1" applyAlignment="1">
      <alignment horizontal="center" vertical="center" wrapText="1"/>
    </xf>
    <xf numFmtId="0" fontId="71" fillId="0" borderId="1" xfId="0" applyFont="1" applyFill="1" applyBorder="1" applyAlignment="1">
      <alignment vertical="center" wrapText="1"/>
    </xf>
    <xf numFmtId="166" fontId="51" fillId="0" borderId="57" xfId="5" applyNumberFormat="1" applyFont="1" applyFill="1" applyBorder="1" applyAlignment="1">
      <alignment vertical="center" wrapText="1"/>
    </xf>
    <xf numFmtId="0" fontId="71" fillId="0" borderId="57" xfId="14" applyFont="1" applyFill="1" applyBorder="1" applyAlignment="1">
      <alignment horizontal="center" vertical="center"/>
    </xf>
    <xf numFmtId="166" fontId="51" fillId="0" borderId="57" xfId="5" applyNumberFormat="1" applyFont="1" applyFill="1" applyBorder="1" applyAlignment="1">
      <alignment horizontal="left" vertical="center" wrapText="1"/>
    </xf>
    <xf numFmtId="0" fontId="36" fillId="0" borderId="0" xfId="7" applyFont="1" applyFill="1" applyAlignment="1">
      <alignment horizontal="left"/>
    </xf>
    <xf numFmtId="168" fontId="12" fillId="0" borderId="1" xfId="3" applyNumberFormat="1" applyFont="1" applyBorder="1" applyAlignment="1">
      <alignment horizontal="center" vertical="center"/>
    </xf>
    <xf numFmtId="168" fontId="12" fillId="0" borderId="2" xfId="3" applyNumberFormat="1" applyFont="1" applyBorder="1"/>
    <xf numFmtId="0" fontId="11" fillId="0" borderId="1" xfId="0" applyFont="1" applyFill="1" applyBorder="1" applyAlignment="1">
      <alignment horizontal="left" vertical="center" wrapText="1"/>
    </xf>
    <xf numFmtId="0" fontId="32" fillId="0" borderId="52" xfId="0" applyFont="1" applyFill="1" applyBorder="1" applyAlignment="1">
      <alignment horizontal="right" vertical="distributed"/>
    </xf>
    <xf numFmtId="172" fontId="12" fillId="0" borderId="1" xfId="5" applyNumberFormat="1" applyFont="1" applyFill="1" applyBorder="1" applyAlignment="1">
      <alignment horizontal="left" vertical="center" wrapText="1" indent="2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9" fontId="26" fillId="0" borderId="68" xfId="0" applyNumberFormat="1" applyFont="1" applyFill="1" applyBorder="1" applyAlignment="1">
      <alignment horizontal="center" vertical="top" wrapText="1"/>
    </xf>
    <xf numFmtId="167" fontId="16" fillId="0" borderId="13" xfId="34" applyNumberFormat="1" applyFont="1" applyFill="1" applyBorder="1" applyAlignment="1">
      <alignment horizontal="center" vertical="center"/>
    </xf>
    <xf numFmtId="167" fontId="11" fillId="0" borderId="13" xfId="34" applyNumberFormat="1" applyFont="1" applyFill="1" applyBorder="1" applyAlignment="1">
      <alignment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7" fontId="13" fillId="0" borderId="14" xfId="34" applyNumberFormat="1" applyFont="1" applyFill="1" applyBorder="1" applyAlignment="1">
      <alignment horizontal="right" vertical="center" wrapText="1"/>
    </xf>
    <xf numFmtId="166" fontId="16" fillId="0" borderId="14" xfId="34" applyNumberFormat="1" applyFont="1" applyFill="1" applyBorder="1" applyAlignment="1">
      <alignment horizontal="right" vertical="center" wrapText="1"/>
    </xf>
    <xf numFmtId="168" fontId="16" fillId="0" borderId="14" xfId="3" applyNumberFormat="1" applyFont="1" applyFill="1" applyBorder="1" applyAlignment="1">
      <alignment vertical="center" wrapText="1"/>
    </xf>
    <xf numFmtId="0" fontId="9" fillId="0" borderId="14" xfId="3" applyFont="1" applyFill="1" applyBorder="1"/>
    <xf numFmtId="166" fontId="13" fillId="0" borderId="14" xfId="34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74" fontId="11" fillId="0" borderId="13" xfId="24" applyNumberFormat="1" applyFont="1" applyFill="1" applyBorder="1" applyAlignment="1">
      <alignment horizontal="right" vertical="center" wrapText="1"/>
    </xf>
    <xf numFmtId="168" fontId="16" fillId="0" borderId="16" xfId="3" applyNumberFormat="1" applyFont="1" applyFill="1" applyBorder="1" applyAlignment="1">
      <alignment vertical="center" wrapText="1"/>
    </xf>
    <xf numFmtId="0" fontId="20" fillId="0" borderId="14" xfId="37" applyFont="1" applyFill="1" applyBorder="1" applyAlignment="1">
      <alignment horizontal="left" vertical="center" wrapText="1"/>
    </xf>
    <xf numFmtId="166" fontId="16" fillId="0" borderId="30" xfId="34" applyNumberFormat="1" applyFont="1" applyFill="1" applyBorder="1" applyAlignment="1">
      <alignment horizontal="right" vertical="center" wrapText="1"/>
    </xf>
    <xf numFmtId="167" fontId="16" fillId="0" borderId="14" xfId="34" applyNumberFormat="1" applyFont="1" applyFill="1" applyBorder="1" applyAlignment="1">
      <alignment vertical="center" wrapText="1"/>
    </xf>
    <xf numFmtId="167" fontId="16" fillId="0" borderId="14" xfId="34" applyNumberFormat="1" applyFont="1" applyFill="1" applyBorder="1" applyAlignment="1">
      <alignment horizontal="right" vertical="center" wrapText="1"/>
    </xf>
    <xf numFmtId="0" fontId="9" fillId="0" borderId="30" xfId="3" applyFont="1" applyFill="1" applyBorder="1"/>
    <xf numFmtId="166" fontId="21" fillId="0" borderId="14" xfId="3" applyNumberFormat="1" applyFont="1" applyFill="1" applyBorder="1" applyAlignment="1">
      <alignment vertical="center"/>
    </xf>
    <xf numFmtId="167" fontId="9" fillId="0" borderId="14" xfId="34" applyNumberFormat="1" applyFont="1" applyFill="1" applyBorder="1" applyAlignment="1">
      <alignment vertical="center"/>
    </xf>
    <xf numFmtId="166" fontId="12" fillId="0" borderId="14" xfId="34" applyNumberFormat="1" applyFont="1" applyFill="1" applyBorder="1" applyAlignment="1">
      <alignment vertical="center"/>
    </xf>
    <xf numFmtId="166" fontId="12" fillId="0" borderId="14" xfId="34" applyNumberFormat="1" applyFont="1" applyFill="1" applyBorder="1" applyAlignment="1">
      <alignment horizontal="left" vertical="center" wrapText="1"/>
    </xf>
    <xf numFmtId="168" fontId="12" fillId="0" borderId="13" xfId="3" applyNumberFormat="1" applyFont="1" applyFill="1" applyBorder="1" applyAlignment="1">
      <alignment horizontal="right"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8" fontId="9" fillId="0" borderId="13" xfId="3" applyNumberFormat="1" applyFont="1" applyFill="1" applyBorder="1"/>
    <xf numFmtId="168" fontId="11" fillId="0" borderId="10" xfId="3" applyNumberFormat="1" applyFont="1" applyFill="1" applyBorder="1" applyAlignment="1">
      <alignment horizontal="right" vertical="center" wrapText="1"/>
    </xf>
    <xf numFmtId="168" fontId="12" fillId="0" borderId="14" xfId="3" applyNumberFormat="1" applyFont="1" applyFill="1" applyBorder="1" applyAlignment="1">
      <alignment horizontal="right" vertical="center"/>
    </xf>
    <xf numFmtId="166" fontId="14" fillId="0" borderId="30" xfId="34" applyNumberFormat="1" applyFont="1" applyFill="1" applyBorder="1" applyAlignment="1">
      <alignment horizontal="right"/>
    </xf>
    <xf numFmtId="166" fontId="9" fillId="0" borderId="14" xfId="34" applyNumberFormat="1" applyFont="1" applyFill="1" applyBorder="1" applyAlignment="1">
      <alignment horizontal="right"/>
    </xf>
    <xf numFmtId="174" fontId="11" fillId="0" borderId="14" xfId="24" applyNumberFormat="1" applyFont="1" applyFill="1" applyBorder="1" applyAlignment="1">
      <alignment horizontal="right" vertical="center" wrapText="1"/>
    </xf>
    <xf numFmtId="174" fontId="11" fillId="0" borderId="10" xfId="24" applyNumberFormat="1" applyFont="1" applyFill="1" applyBorder="1" applyAlignment="1">
      <alignment horizontal="right" vertical="center" wrapText="1"/>
    </xf>
    <xf numFmtId="166" fontId="16" fillId="0" borderId="69" xfId="34" applyNumberFormat="1" applyFont="1" applyFill="1" applyBorder="1" applyAlignment="1">
      <alignment horizontal="center" vertical="center"/>
    </xf>
    <xf numFmtId="168" fontId="16" fillId="0" borderId="19" xfId="34" applyNumberFormat="1" applyFont="1" applyFill="1" applyBorder="1" applyAlignment="1">
      <alignment horizontal="right" vertical="center"/>
    </xf>
    <xf numFmtId="167" fontId="16" fillId="0" borderId="19" xfId="34" applyNumberFormat="1" applyFont="1" applyFill="1" applyBorder="1" applyAlignment="1">
      <alignment horizontal="center" vertical="center"/>
    </xf>
    <xf numFmtId="167" fontId="16" fillId="0" borderId="19" xfId="34" applyNumberFormat="1" applyFont="1" applyFill="1" applyBorder="1" applyAlignment="1">
      <alignment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13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6" fontId="16" fillId="0" borderId="19" xfId="34" applyNumberFormat="1" applyFont="1" applyFill="1" applyBorder="1" applyAlignment="1">
      <alignment horizontal="right" vertical="center" wrapText="1"/>
    </xf>
    <xf numFmtId="168" fontId="16" fillId="0" borderId="19" xfId="3" applyNumberFormat="1" applyFont="1" applyFill="1" applyBorder="1" applyAlignment="1">
      <alignment vertical="center" wrapText="1"/>
    </xf>
    <xf numFmtId="49" fontId="16" fillId="0" borderId="19" xfId="3" applyNumberFormat="1" applyFont="1" applyFill="1" applyBorder="1" applyAlignment="1">
      <alignment vertical="center" wrapText="1"/>
    </xf>
    <xf numFmtId="166" fontId="13" fillId="0" borderId="19" xfId="34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96" fillId="0" borderId="19" xfId="34" applyNumberFormat="1" applyFont="1" applyFill="1" applyBorder="1" applyAlignment="1">
      <alignment horizontal="right" vertical="center" wrapText="1"/>
    </xf>
    <xf numFmtId="168" fontId="16" fillId="0" borderId="70" xfId="3" applyNumberFormat="1" applyFont="1" applyFill="1" applyBorder="1" applyAlignment="1">
      <alignment vertical="center" wrapText="1"/>
    </xf>
    <xf numFmtId="167" fontId="12" fillId="0" borderId="19" xfId="37" applyNumberFormat="1" applyFont="1" applyFill="1" applyBorder="1" applyAlignment="1">
      <alignment horizontal="left" vertical="center" wrapText="1"/>
    </xf>
    <xf numFmtId="167" fontId="11" fillId="0" borderId="71" xfId="34" applyNumberFormat="1" applyFont="1" applyFill="1" applyBorder="1" applyAlignment="1">
      <alignment horizontal="right" vertical="center" wrapText="1"/>
    </xf>
    <xf numFmtId="168" fontId="11" fillId="0" borderId="19" xfId="3" applyNumberFormat="1" applyFont="1" applyFill="1" applyBorder="1" applyAlignment="1">
      <alignment vertical="center" wrapText="1"/>
    </xf>
    <xf numFmtId="168" fontId="11" fillId="0" borderId="19" xfId="38" applyNumberFormat="1" applyFont="1" applyFill="1" applyBorder="1" applyAlignment="1">
      <alignment horizontal="right" vertical="center" wrapText="1"/>
    </xf>
    <xf numFmtId="167" fontId="16" fillId="0" borderId="19" xfId="34" applyNumberFormat="1" applyFont="1" applyFill="1" applyBorder="1" applyAlignment="1">
      <alignment horizontal="right" vertical="center" wrapText="1"/>
    </xf>
    <xf numFmtId="168" fontId="16" fillId="0" borderId="19" xfId="0" applyNumberFormat="1" applyFont="1" applyFill="1" applyBorder="1" applyAlignment="1">
      <alignment horizontal="right" vertical="center" wrapText="1"/>
    </xf>
    <xf numFmtId="168" fontId="11" fillId="0" borderId="19" xfId="0" applyNumberFormat="1" applyFont="1" applyFill="1" applyBorder="1" applyAlignment="1">
      <alignment horizontal="right" vertical="center" wrapText="1"/>
    </xf>
    <xf numFmtId="49" fontId="11" fillId="0" borderId="19" xfId="3" applyNumberFormat="1" applyFont="1" applyFill="1" applyBorder="1" applyAlignment="1">
      <alignment vertical="center" wrapText="1"/>
    </xf>
    <xf numFmtId="168" fontId="16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3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2" fillId="0" borderId="19" xfId="1" applyNumberFormat="1" applyFont="1" applyFill="1" applyBorder="1" applyAlignment="1">
      <alignment horizontal="right" vertical="center" wrapText="1"/>
    </xf>
    <xf numFmtId="166" fontId="12" fillId="0" borderId="19" xfId="3" applyNumberFormat="1" applyFont="1" applyFill="1" applyBorder="1"/>
    <xf numFmtId="168" fontId="16" fillId="0" borderId="19" xfId="34" applyNumberFormat="1" applyFont="1" applyFill="1" applyBorder="1" applyAlignment="1">
      <alignment horizontal="right" vertical="center" wrapText="1"/>
    </xf>
    <xf numFmtId="168" fontId="11" fillId="0" borderId="71" xfId="3" applyNumberFormat="1" applyFont="1" applyFill="1" applyBorder="1" applyAlignment="1">
      <alignment horizontal="right" vertical="center" wrapText="1"/>
    </xf>
    <xf numFmtId="166" fontId="12" fillId="0" borderId="19" xfId="24" applyNumberFormat="1" applyFont="1" applyFill="1" applyBorder="1" applyAlignment="1">
      <alignment horizontal="right"/>
    </xf>
    <xf numFmtId="0" fontId="19" fillId="0" borderId="72" xfId="3" applyFont="1" applyFill="1" applyBorder="1"/>
    <xf numFmtId="0" fontId="9" fillId="0" borderId="72" xfId="3" applyFont="1" applyFill="1" applyBorder="1"/>
    <xf numFmtId="168" fontId="12" fillId="0" borderId="19" xfId="3" applyNumberFormat="1" applyFont="1" applyFill="1" applyBorder="1" applyAlignment="1">
      <alignment horizontal="right" vertical="center" wrapText="1"/>
    </xf>
    <xf numFmtId="168" fontId="13" fillId="0" borderId="19" xfId="3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vertical="center" wrapText="1"/>
    </xf>
    <xf numFmtId="167" fontId="16" fillId="0" borderId="71" xfId="34" applyNumberFormat="1" applyFont="1" applyFill="1" applyBorder="1" applyAlignment="1">
      <alignment vertical="center" wrapText="1"/>
    </xf>
    <xf numFmtId="167" fontId="11" fillId="0" borderId="71" xfId="34" applyNumberFormat="1" applyFont="1" applyFill="1" applyBorder="1" applyAlignment="1">
      <alignment vertical="center" wrapText="1"/>
    </xf>
    <xf numFmtId="168" fontId="13" fillId="0" borderId="71" xfId="3" applyNumberFormat="1" applyFont="1" applyFill="1" applyBorder="1" applyAlignment="1">
      <alignment horizontal="right" vertical="center" wrapText="1"/>
    </xf>
    <xf numFmtId="166" fontId="13" fillId="0" borderId="19" xfId="34" applyNumberFormat="1" applyFont="1" applyFill="1" applyBorder="1" applyAlignment="1">
      <alignment horizontal="right"/>
    </xf>
    <xf numFmtId="166" fontId="12" fillId="0" borderId="19" xfId="34" applyNumberFormat="1" applyFont="1" applyFill="1" applyBorder="1" applyAlignment="1">
      <alignment horizontal="right"/>
    </xf>
    <xf numFmtId="166" fontId="16" fillId="0" borderId="71" xfId="34" applyNumberFormat="1" applyFont="1" applyFill="1" applyBorder="1" applyAlignment="1">
      <alignment horizontal="right" vertical="center" wrapText="1"/>
    </xf>
    <xf numFmtId="166" fontId="11" fillId="0" borderId="71" xfId="34" applyNumberFormat="1" applyFont="1" applyFill="1" applyBorder="1" applyAlignment="1">
      <alignment horizontal="right" vertical="center" wrapText="1"/>
    </xf>
    <xf numFmtId="166" fontId="13" fillId="0" borderId="71" xfId="34" applyNumberFormat="1" applyFont="1" applyFill="1" applyBorder="1" applyAlignment="1">
      <alignment horizontal="right"/>
    </xf>
    <xf numFmtId="167" fontId="16" fillId="0" borderId="71" xfId="34" applyNumberFormat="1" applyFont="1" applyFill="1" applyBorder="1" applyAlignment="1">
      <alignment horizontal="right" vertical="center" wrapText="1"/>
    </xf>
    <xf numFmtId="167" fontId="11" fillId="0" borderId="66" xfId="34" applyNumberFormat="1" applyFont="1" applyFill="1" applyBorder="1" applyAlignment="1">
      <alignment horizontal="right" vertical="center" wrapText="1"/>
    </xf>
    <xf numFmtId="166" fontId="16" fillId="0" borderId="68" xfId="34" applyNumberFormat="1" applyFont="1" applyFill="1" applyBorder="1" applyAlignment="1">
      <alignment horizontal="center" vertical="center"/>
    </xf>
    <xf numFmtId="168" fontId="16" fillId="0" borderId="13" xfId="34" applyNumberFormat="1" applyFont="1" applyFill="1" applyBorder="1" applyAlignment="1">
      <alignment horizontal="right" vertical="center"/>
    </xf>
    <xf numFmtId="167" fontId="16" fillId="0" borderId="13" xfId="34" applyNumberFormat="1" applyFont="1" applyFill="1" applyBorder="1" applyAlignment="1">
      <alignment vertical="center" wrapText="1"/>
    </xf>
    <xf numFmtId="49" fontId="16" fillId="0" borderId="14" xfId="3" applyNumberFormat="1" applyFont="1" applyFill="1" applyBorder="1" applyAlignment="1">
      <alignment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7" fontId="12" fillId="0" borderId="14" xfId="37" applyNumberFormat="1" applyFont="1" applyFill="1" applyBorder="1" applyAlignment="1">
      <alignment horizontal="left" vertical="center" wrapText="1"/>
    </xf>
    <xf numFmtId="167" fontId="11" fillId="0" borderId="30" xfId="34" applyNumberFormat="1" applyFont="1" applyFill="1" applyBorder="1" applyAlignment="1">
      <alignment horizontal="right" vertical="center" wrapText="1"/>
    </xf>
    <xf numFmtId="168" fontId="11" fillId="0" borderId="14" xfId="38" applyNumberFormat="1" applyFont="1" applyFill="1" applyBorder="1" applyAlignment="1">
      <alignment horizontal="right" vertical="center" wrapText="1"/>
    </xf>
    <xf numFmtId="168" fontId="16" fillId="0" borderId="14" xfId="0" applyNumberFormat="1" applyFont="1" applyFill="1" applyBorder="1" applyAlignment="1">
      <alignment horizontal="right" vertical="center" wrapText="1"/>
    </xf>
    <xf numFmtId="168" fontId="11" fillId="0" borderId="14" xfId="0" applyNumberFormat="1" applyFont="1" applyFill="1" applyBorder="1" applyAlignment="1">
      <alignment horizontal="right" vertical="center" wrapText="1"/>
    </xf>
    <xf numFmtId="49" fontId="11" fillId="0" borderId="14" xfId="3" applyNumberFormat="1" applyFont="1" applyFill="1" applyBorder="1" applyAlignment="1">
      <alignment vertical="center" wrapText="1"/>
    </xf>
    <xf numFmtId="168" fontId="16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3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2" fillId="0" borderId="14" xfId="1" applyNumberFormat="1" applyFont="1" applyFill="1" applyBorder="1" applyAlignment="1">
      <alignment horizontal="right" vertical="center" wrapText="1"/>
    </xf>
    <xf numFmtId="168" fontId="96" fillId="0" borderId="14" xfId="34" applyNumberFormat="1" applyFont="1" applyFill="1" applyBorder="1" applyAlignment="1">
      <alignment horizontal="right" vertical="center" wrapText="1"/>
    </xf>
    <xf numFmtId="166" fontId="12" fillId="0" borderId="14" xfId="3" applyNumberFormat="1" applyFont="1" applyFill="1" applyBorder="1"/>
    <xf numFmtId="168" fontId="16" fillId="0" borderId="14" xfId="34" applyNumberFormat="1" applyFont="1" applyFill="1" applyBorder="1" applyAlignment="1">
      <alignment horizontal="right" vertical="center" wrapText="1"/>
    </xf>
    <xf numFmtId="166" fontId="12" fillId="0" borderId="14" xfId="24" applyNumberFormat="1" applyFont="1" applyFill="1" applyBorder="1" applyAlignment="1">
      <alignment horizontal="right"/>
    </xf>
    <xf numFmtId="168" fontId="13" fillId="0" borderId="13" xfId="3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vertical="center" wrapText="1"/>
    </xf>
    <xf numFmtId="167" fontId="16" fillId="0" borderId="10" xfId="34" applyNumberFormat="1" applyFont="1" applyFill="1" applyBorder="1" applyAlignment="1">
      <alignment vertical="center" wrapText="1"/>
    </xf>
    <xf numFmtId="167" fontId="11" fillId="0" borderId="10" xfId="34" applyNumberFormat="1" applyFont="1" applyFill="1" applyBorder="1" applyAlignment="1">
      <alignment vertical="center" wrapText="1"/>
    </xf>
    <xf numFmtId="168" fontId="13" fillId="0" borderId="10" xfId="3" applyNumberFormat="1" applyFont="1" applyFill="1" applyBorder="1" applyAlignment="1">
      <alignment horizontal="right" vertical="center" wrapText="1"/>
    </xf>
    <xf numFmtId="166" fontId="13" fillId="0" borderId="14" xfId="34" applyNumberFormat="1" applyFont="1" applyFill="1" applyBorder="1" applyAlignment="1">
      <alignment horizontal="right"/>
    </xf>
    <xf numFmtId="166" fontId="12" fillId="0" borderId="14" xfId="34" applyNumberFormat="1" applyFont="1" applyFill="1" applyBorder="1" applyAlignment="1">
      <alignment horizontal="right"/>
    </xf>
    <xf numFmtId="166" fontId="11" fillId="0" borderId="30" xfId="34" applyNumberFormat="1" applyFont="1" applyFill="1" applyBorder="1" applyAlignment="1">
      <alignment horizontal="right" vertical="center" wrapText="1"/>
    </xf>
    <xf numFmtId="166" fontId="13" fillId="0" borderId="30" xfId="34" applyNumberFormat="1" applyFont="1" applyFill="1" applyBorder="1" applyAlignment="1">
      <alignment horizontal="right"/>
    </xf>
    <xf numFmtId="167" fontId="16" fillId="0" borderId="30" xfId="34" applyNumberFormat="1" applyFont="1" applyFill="1" applyBorder="1" applyAlignment="1">
      <alignment horizontal="right" vertical="center" wrapText="1"/>
    </xf>
    <xf numFmtId="168" fontId="96" fillId="0" borderId="19" xfId="34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168" fontId="99" fillId="0" borderId="7" xfId="5" applyNumberFormat="1" applyFont="1" applyFill="1" applyBorder="1" applyAlignment="1">
      <alignment horizontal="right" vertical="center" wrapText="1"/>
    </xf>
    <xf numFmtId="168" fontId="99" fillId="0" borderId="9" xfId="5" applyNumberFormat="1" applyFont="1" applyFill="1" applyBorder="1" applyAlignment="1">
      <alignment horizontal="right" vertical="center" wrapText="1"/>
    </xf>
    <xf numFmtId="0" fontId="100" fillId="0" borderId="0" xfId="3" applyFont="1" applyFill="1"/>
    <xf numFmtId="49" fontId="50" fillId="0" borderId="73" xfId="5" applyNumberFormat="1" applyFont="1" applyFill="1" applyBorder="1" applyAlignment="1">
      <alignment horizontal="center" vertical="center" wrapText="1"/>
    </xf>
    <xf numFmtId="49" fontId="13" fillId="0" borderId="58" xfId="5" applyNumberFormat="1" applyFont="1" applyFill="1" applyBorder="1" applyAlignment="1">
      <alignment horizontal="center" vertical="center" wrapText="1"/>
    </xf>
    <xf numFmtId="49" fontId="50" fillId="0" borderId="30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1" fillId="0" borderId="14" xfId="5" applyNumberFormat="1" applyFont="1" applyFill="1" applyBorder="1" applyAlignment="1">
      <alignment horizontal="center" vertical="center" wrapText="1"/>
    </xf>
    <xf numFmtId="49" fontId="51" fillId="0" borderId="65" xfId="5" applyNumberFormat="1" applyFont="1" applyFill="1" applyBorder="1" applyAlignment="1">
      <alignment horizontal="center" vertical="center" wrapText="1"/>
    </xf>
    <xf numFmtId="49" fontId="51" fillId="0" borderId="14" xfId="14" applyNumberFormat="1" applyFont="1" applyFill="1" applyBorder="1" applyAlignment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51" fillId="0" borderId="14" xfId="12" applyNumberFormat="1" applyFont="1" applyFill="1" applyBorder="1" applyAlignment="1" applyProtection="1">
      <alignment horizontal="center" vertical="center" wrapText="1"/>
    </xf>
    <xf numFmtId="49" fontId="14" fillId="0" borderId="14" xfId="5" applyNumberFormat="1" applyFont="1" applyFill="1" applyBorder="1" applyAlignment="1">
      <alignment horizontal="center" vertical="center" wrapText="1"/>
    </xf>
    <xf numFmtId="49" fontId="85" fillId="0" borderId="14" xfId="5" applyNumberFormat="1" applyFont="1" applyFill="1" applyBorder="1" applyAlignment="1">
      <alignment horizontal="center" vertical="center" wrapText="1"/>
    </xf>
    <xf numFmtId="49" fontId="9" fillId="0" borderId="14" xfId="0" applyNumberFormat="1" applyFont="1" applyFill="1" applyBorder="1" applyAlignment="1">
      <alignment horizontal="center" vertical="center" wrapText="1"/>
    </xf>
    <xf numFmtId="49" fontId="51" fillId="0" borderId="14" xfId="0" applyNumberFormat="1" applyFont="1" applyFill="1" applyBorder="1" applyAlignment="1">
      <alignment horizontal="center" vertical="center" wrapText="1"/>
    </xf>
    <xf numFmtId="49" fontId="51" fillId="0" borderId="50" xfId="5" applyNumberFormat="1" applyFont="1" applyFill="1" applyBorder="1" applyAlignment="1">
      <alignment horizontal="center" vertical="center" wrapText="1"/>
    </xf>
    <xf numFmtId="49" fontId="51" fillId="0" borderId="74" xfId="5" applyNumberFormat="1" applyFont="1" applyFill="1" applyBorder="1" applyAlignment="1">
      <alignment horizontal="center" vertical="center" wrapText="1"/>
    </xf>
    <xf numFmtId="168" fontId="50" fillId="0" borderId="67" xfId="5" applyNumberFormat="1" applyFont="1" applyFill="1" applyBorder="1" applyAlignment="1">
      <alignment horizontal="center" vertical="center" wrapText="1"/>
    </xf>
    <xf numFmtId="168" fontId="77" fillId="0" borderId="72" xfId="5" applyNumberFormat="1" applyFont="1" applyFill="1" applyBorder="1" applyAlignment="1">
      <alignment horizontal="right" vertical="center" wrapText="1"/>
    </xf>
    <xf numFmtId="168" fontId="77" fillId="0" borderId="67" xfId="5" applyNumberFormat="1" applyFont="1" applyFill="1" applyBorder="1" applyAlignment="1">
      <alignment horizontal="right" vertical="center" wrapText="1"/>
    </xf>
    <xf numFmtId="168" fontId="77" fillId="0" borderId="71" xfId="5" applyNumberFormat="1" applyFont="1" applyFill="1" applyBorder="1" applyAlignment="1">
      <alignment horizontal="right" vertical="center" wrapText="1"/>
    </xf>
    <xf numFmtId="168" fontId="77" fillId="0" borderId="19" xfId="5" applyNumberFormat="1" applyFont="1" applyFill="1" applyBorder="1" applyAlignment="1">
      <alignment horizontal="right" vertical="center"/>
    </xf>
    <xf numFmtId="168" fontId="18" fillId="0" borderId="19" xfId="5" applyNumberFormat="1" applyFont="1" applyFill="1" applyBorder="1" applyAlignment="1">
      <alignment horizontal="right" vertical="center"/>
    </xf>
    <xf numFmtId="179" fontId="77" fillId="0" borderId="19" xfId="5" applyNumberFormat="1" applyFont="1" applyFill="1" applyBorder="1" applyAlignment="1">
      <alignment horizontal="right" vertical="center"/>
    </xf>
    <xf numFmtId="167" fontId="18" fillId="0" borderId="19" xfId="34" applyNumberFormat="1" applyFont="1" applyFill="1" applyBorder="1" applyAlignment="1">
      <alignment horizontal="right" vertical="center" wrapText="1"/>
    </xf>
    <xf numFmtId="168" fontId="18" fillId="0" borderId="70" xfId="5" applyNumberFormat="1" applyFont="1" applyFill="1" applyBorder="1" applyAlignment="1">
      <alignment horizontal="right" vertical="center"/>
    </xf>
    <xf numFmtId="168" fontId="18" fillId="0" borderId="19" xfId="5" applyNumberFormat="1" applyFont="1" applyFill="1" applyBorder="1" applyAlignment="1">
      <alignment horizontal="right" vertical="center" wrapText="1"/>
    </xf>
    <xf numFmtId="168" fontId="77" fillId="0" borderId="19" xfId="5" applyNumberFormat="1" applyFont="1" applyFill="1" applyBorder="1" applyAlignment="1">
      <alignment horizontal="right" vertical="center" wrapText="1"/>
    </xf>
    <xf numFmtId="168" fontId="77" fillId="0" borderId="19" xfId="14" applyNumberFormat="1" applyFont="1" applyFill="1" applyBorder="1" applyAlignment="1">
      <alignment horizontal="right" vertical="center"/>
    </xf>
    <xf numFmtId="168" fontId="76" fillId="0" borderId="19" xfId="0" applyNumberFormat="1" applyFont="1" applyFill="1" applyBorder="1" applyAlignment="1">
      <alignment horizontal="right" vertical="center" wrapText="1"/>
    </xf>
    <xf numFmtId="168" fontId="18" fillId="0" borderId="19" xfId="14" applyNumberFormat="1" applyFont="1" applyFill="1" applyBorder="1" applyAlignment="1">
      <alignment horizontal="right" vertical="center"/>
    </xf>
    <xf numFmtId="168" fontId="98" fillId="0" borderId="19" xfId="5" applyNumberFormat="1" applyFont="1" applyFill="1" applyBorder="1" applyAlignment="1">
      <alignment horizontal="right" vertical="center" wrapText="1"/>
    </xf>
    <xf numFmtId="168" fontId="18" fillId="0" borderId="70" xfId="5" applyNumberFormat="1" applyFont="1" applyFill="1" applyBorder="1" applyAlignment="1">
      <alignment horizontal="right" vertical="center" wrapText="1"/>
    </xf>
    <xf numFmtId="168" fontId="18" fillId="0" borderId="66" xfId="5" applyNumberFormat="1" applyFont="1" applyFill="1" applyBorder="1" applyAlignment="1">
      <alignment horizontal="right" vertical="center" wrapText="1"/>
    </xf>
    <xf numFmtId="0" fontId="36" fillId="0" borderId="0" xfId="7" applyFont="1" applyFill="1" applyAlignment="1">
      <alignment horizontal="right"/>
    </xf>
    <xf numFmtId="168" fontId="53" fillId="8" borderId="1" xfId="25" applyNumberFormat="1" applyFont="1" applyFill="1" applyBorder="1" applyAlignment="1"/>
    <xf numFmtId="168" fontId="53" fillId="8" borderId="1" xfId="7" applyNumberFormat="1" applyFont="1" applyFill="1" applyBorder="1" applyAlignment="1"/>
    <xf numFmtId="168" fontId="32" fillId="8" borderId="47" xfId="7" applyNumberFormat="1" applyFont="1" applyFill="1" applyBorder="1" applyAlignment="1">
      <alignment horizontal="right" vertical="distributed"/>
    </xf>
    <xf numFmtId="43" fontId="55" fillId="8" borderId="45" xfId="26" applyFont="1" applyFill="1" applyBorder="1" applyAlignment="1">
      <alignment horizontal="right"/>
    </xf>
    <xf numFmtId="168" fontId="53" fillId="8" borderId="47" xfId="7" applyNumberFormat="1" applyFont="1" applyFill="1" applyBorder="1" applyAlignment="1">
      <alignment horizontal="center"/>
    </xf>
    <xf numFmtId="176" fontId="32" fillId="8" borderId="47" xfId="26" applyNumberFormat="1" applyFont="1" applyFill="1" applyBorder="1" applyAlignment="1">
      <alignment horizontal="right" vertical="distributed"/>
    </xf>
    <xf numFmtId="167" fontId="9" fillId="0" borderId="0" xfId="1" applyNumberFormat="1" applyFont="1" applyFill="1" applyBorder="1"/>
    <xf numFmtId="0" fontId="9" fillId="8" borderId="0" xfId="3" applyFont="1" applyFill="1" applyBorder="1"/>
    <xf numFmtId="176" fontId="32" fillId="8" borderId="46" xfId="26" applyNumberFormat="1" applyFont="1" applyFill="1" applyBorder="1" applyAlignment="1">
      <alignment horizontal="right" vertical="distributed"/>
    </xf>
    <xf numFmtId="168" fontId="32" fillId="0" borderId="46" xfId="7" applyNumberFormat="1" applyFont="1" applyFill="1" applyBorder="1" applyAlignment="1">
      <alignment horizontal="right" vertical="distributed"/>
    </xf>
    <xf numFmtId="168" fontId="32" fillId="8" borderId="46" xfId="7" applyNumberFormat="1" applyFont="1" applyFill="1" applyBorder="1" applyAlignment="1">
      <alignment horizontal="right" vertical="distributed"/>
    </xf>
    <xf numFmtId="166" fontId="8" fillId="8" borderId="1" xfId="7" applyNumberFormat="1" applyFill="1" applyBorder="1" applyAlignment="1">
      <alignment horizontal="center" vertical="center"/>
    </xf>
    <xf numFmtId="178" fontId="8" fillId="10" borderId="1" xfId="7" applyNumberFormat="1" applyFill="1" applyBorder="1"/>
    <xf numFmtId="178" fontId="8" fillId="0" borderId="1" xfId="7" applyNumberFormat="1" applyFill="1" applyBorder="1"/>
    <xf numFmtId="49" fontId="50" fillId="8" borderId="1" xfId="5" applyNumberFormat="1" applyFont="1" applyFill="1" applyBorder="1" applyAlignment="1">
      <alignment horizontal="center" vertical="center" wrapText="1"/>
    </xf>
    <xf numFmtId="49" fontId="51" fillId="8" borderId="1" xfId="5" applyNumberFormat="1" applyFont="1" applyFill="1" applyBorder="1" applyAlignment="1">
      <alignment horizontal="center" vertical="center" wrapText="1"/>
    </xf>
    <xf numFmtId="49" fontId="51" fillId="8" borderId="14" xfId="5" applyNumberFormat="1" applyFont="1" applyFill="1" applyBorder="1" applyAlignment="1">
      <alignment horizontal="center" vertical="center" wrapText="1"/>
    </xf>
    <xf numFmtId="168" fontId="77" fillId="8" borderId="19" xfId="5" applyNumberFormat="1" applyFont="1" applyFill="1" applyBorder="1" applyAlignment="1">
      <alignment horizontal="right" vertical="center" wrapText="1"/>
    </xf>
    <xf numFmtId="168" fontId="42" fillId="8" borderId="7" xfId="5" applyNumberFormat="1" applyFont="1" applyFill="1" applyBorder="1" applyAlignment="1">
      <alignment horizontal="right" vertical="center" wrapText="1"/>
    </xf>
    <xf numFmtId="168" fontId="42" fillId="8" borderId="9" xfId="5" applyNumberFormat="1" applyFont="1" applyFill="1" applyBorder="1" applyAlignment="1">
      <alignment horizontal="right" vertical="center" wrapText="1"/>
    </xf>
    <xf numFmtId="0" fontId="9" fillId="8" borderId="0" xfId="3" applyFont="1" applyFill="1"/>
    <xf numFmtId="168" fontId="77" fillId="8" borderId="9" xfId="5" applyNumberFormat="1" applyFont="1" applyFill="1" applyBorder="1" applyAlignment="1">
      <alignment horizontal="right" vertical="center" wrapText="1"/>
    </xf>
    <xf numFmtId="0" fontId="86" fillId="8" borderId="0" xfId="3" applyFont="1" applyFill="1"/>
    <xf numFmtId="168" fontId="18" fillId="8" borderId="19" xfId="5" applyNumberFormat="1" applyFont="1" applyFill="1" applyBorder="1" applyAlignment="1">
      <alignment horizontal="right" vertical="center" wrapText="1"/>
    </xf>
    <xf numFmtId="168" fontId="40" fillId="8" borderId="7" xfId="5" applyNumberFormat="1" applyFont="1" applyFill="1" applyBorder="1" applyAlignment="1">
      <alignment horizontal="right" vertical="center" wrapText="1"/>
    </xf>
    <xf numFmtId="168" fontId="40" fillId="8" borderId="9" xfId="5" applyNumberFormat="1" applyFont="1" applyFill="1" applyBorder="1" applyAlignment="1">
      <alignment horizontal="right" vertical="center" wrapText="1"/>
    </xf>
    <xf numFmtId="168" fontId="18" fillId="8" borderId="9" xfId="5" applyNumberFormat="1" applyFont="1" applyFill="1" applyBorder="1" applyAlignment="1">
      <alignment horizontal="right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49" fontId="51" fillId="8" borderId="1" xfId="14" applyNumberFormat="1" applyFont="1" applyFill="1" applyBorder="1" applyAlignment="1">
      <alignment horizontal="center" vertical="center" wrapText="1"/>
    </xf>
    <xf numFmtId="49" fontId="51" fillId="8" borderId="14" xfId="14" applyNumberFormat="1" applyFont="1" applyFill="1" applyBorder="1" applyAlignment="1">
      <alignment horizontal="center" vertical="center" wrapText="1"/>
    </xf>
    <xf numFmtId="167" fontId="9" fillId="8" borderId="0" xfId="1" applyNumberFormat="1" applyFont="1" applyFill="1"/>
    <xf numFmtId="167" fontId="9" fillId="10" borderId="0" xfId="1" applyNumberFormat="1" applyFont="1" applyFill="1"/>
    <xf numFmtId="0" fontId="36" fillId="0" borderId="0" xfId="7" applyFont="1" applyFill="1" applyAlignment="1">
      <alignment horizontal="right"/>
    </xf>
    <xf numFmtId="0" fontId="32" fillId="0" borderId="0" xfId="0" applyFont="1" applyFill="1" applyAlignment="1">
      <alignment horizontal="right" vertical="center"/>
    </xf>
    <xf numFmtId="0" fontId="32" fillId="0" borderId="47" xfId="7" applyFont="1" applyFill="1" applyBorder="1" applyAlignment="1">
      <alignment horizontal="center"/>
    </xf>
    <xf numFmtId="175" fontId="25" fillId="0" borderId="43" xfId="26" applyNumberFormat="1" applyFont="1" applyFill="1" applyBorder="1" applyAlignment="1">
      <alignment horizontal="right" vertical="distributed"/>
    </xf>
    <xf numFmtId="168" fontId="53" fillId="0" borderId="1" xfId="25" applyNumberFormat="1" applyFont="1" applyFill="1" applyBorder="1" applyAlignment="1"/>
    <xf numFmtId="175" fontId="55" fillId="0" borderId="43" xfId="26" applyNumberFormat="1" applyFont="1" applyFill="1" applyBorder="1" applyAlignment="1">
      <alignment horizontal="center"/>
    </xf>
    <xf numFmtId="168" fontId="53" fillId="0" borderId="1" xfId="7" applyNumberFormat="1" applyFont="1" applyFill="1" applyBorder="1" applyAlignment="1"/>
    <xf numFmtId="175" fontId="32" fillId="0" borderId="47" xfId="26" applyNumberFormat="1" applyFont="1" applyFill="1" applyBorder="1" applyAlignment="1">
      <alignment horizontal="right" vertical="distributed"/>
    </xf>
    <xf numFmtId="174" fontId="53" fillId="0" borderId="1" xfId="7" applyNumberFormat="1" applyFont="1" applyFill="1" applyBorder="1" applyAlignment="1"/>
    <xf numFmtId="0" fontId="32" fillId="0" borderId="46" xfId="7" applyFont="1" applyFill="1" applyBorder="1" applyAlignment="1">
      <alignment horizontal="center"/>
    </xf>
    <xf numFmtId="174" fontId="53" fillId="0" borderId="1" xfId="25" applyNumberFormat="1" applyFont="1" applyFill="1" applyBorder="1" applyAlignment="1"/>
    <xf numFmtId="168" fontId="53" fillId="0" borderId="2" xfId="25" applyNumberFormat="1" applyFont="1" applyFill="1" applyBorder="1" applyAlignment="1"/>
    <xf numFmtId="176" fontId="32" fillId="0" borderId="55" xfId="26" applyNumberFormat="1" applyFont="1" applyFill="1" applyBorder="1" applyAlignment="1">
      <alignment horizontal="distributed" vertical="distributed"/>
    </xf>
    <xf numFmtId="176" fontId="32" fillId="0" borderId="47" xfId="26" applyNumberFormat="1" applyFont="1" applyFill="1" applyBorder="1" applyAlignment="1">
      <alignment horizontal="right" vertical="distributed"/>
    </xf>
    <xf numFmtId="168" fontId="32" fillId="0" borderId="47" xfId="7" applyNumberFormat="1" applyFont="1" applyFill="1" applyBorder="1" applyAlignment="1">
      <alignment horizontal="right" vertical="distributed"/>
    </xf>
    <xf numFmtId="168" fontId="53" fillId="0" borderId="47" xfId="7" applyNumberFormat="1" applyFont="1" applyFill="1" applyBorder="1" applyAlignment="1">
      <alignment horizontal="center"/>
    </xf>
    <xf numFmtId="174" fontId="32" fillId="0" borderId="47" xfId="7" applyNumberFormat="1" applyFont="1" applyFill="1" applyBorder="1" applyAlignment="1">
      <alignment horizontal="right" vertical="distributed"/>
    </xf>
    <xf numFmtId="176" fontId="32" fillId="0" borderId="47" xfId="26" applyNumberFormat="1" applyFont="1" applyFill="1" applyBorder="1" applyAlignment="1">
      <alignment horizontal="center" vertical="distributed"/>
    </xf>
    <xf numFmtId="43" fontId="53" fillId="0" borderId="45" xfId="26" applyFont="1" applyFill="1" applyBorder="1" applyAlignment="1">
      <alignment horizontal="center"/>
    </xf>
    <xf numFmtId="43" fontId="53" fillId="0" borderId="47" xfId="26" applyFont="1" applyFill="1" applyBorder="1" applyAlignment="1">
      <alignment horizontal="center"/>
    </xf>
    <xf numFmtId="0" fontId="32" fillId="0" borderId="0" xfId="9" applyFont="1" applyFill="1" applyAlignment="1">
      <alignment horizontal="right" vertical="center"/>
    </xf>
    <xf numFmtId="49" fontId="15" fillId="0" borderId="7" xfId="3" applyNumberFormat="1" applyFont="1" applyFill="1" applyBorder="1" applyAlignment="1">
      <alignment horizontal="center" vertical="center" wrapText="1"/>
    </xf>
    <xf numFmtId="172" fontId="12" fillId="0" borderId="1" xfId="11" applyNumberFormat="1" applyFont="1" applyFill="1" applyBorder="1" applyAlignment="1" applyProtection="1">
      <alignment horizontal="left" vertical="center" wrapText="1"/>
    </xf>
    <xf numFmtId="166" fontId="32" fillId="0" borderId="0" xfId="24" applyNumberFormat="1" applyFont="1" applyFill="1" applyAlignment="1">
      <alignment horizontal="right"/>
    </xf>
    <xf numFmtId="0" fontId="12" fillId="0" borderId="2" xfId="3" applyFont="1" applyFill="1" applyBorder="1" applyAlignment="1">
      <alignment horizontal="center" vertical="center"/>
    </xf>
    <xf numFmtId="174" fontId="53" fillId="8" borderId="1" xfId="7" applyNumberFormat="1" applyFont="1" applyFill="1" applyBorder="1" applyAlignment="1"/>
    <xf numFmtId="175" fontId="32" fillId="8" borderId="47" xfId="26" applyNumberFormat="1" applyFont="1" applyFill="1" applyBorder="1" applyAlignment="1">
      <alignment horizontal="right" vertical="distributed"/>
    </xf>
    <xf numFmtId="0" fontId="8" fillId="0" borderId="0" xfId="41"/>
    <xf numFmtId="49" fontId="9" fillId="0" borderId="0" xfId="5" applyNumberFormat="1" applyFont="1" applyFill="1" applyAlignment="1">
      <alignment horizontal="left" vertical="center"/>
    </xf>
    <xf numFmtId="49" fontId="40" fillId="0" borderId="0" xfId="5" applyNumberFormat="1" applyFont="1" applyFill="1" applyAlignment="1">
      <alignment vertical="center"/>
    </xf>
    <xf numFmtId="0" fontId="8" fillId="0" borderId="0" xfId="41" applyAlignment="1">
      <alignment horizontal="left"/>
    </xf>
    <xf numFmtId="0" fontId="40" fillId="0" borderId="0" xfId="5" applyFont="1" applyFill="1"/>
    <xf numFmtId="49" fontId="9" fillId="0" borderId="0" xfId="5" applyNumberFormat="1" applyFont="1" applyFill="1" applyBorder="1" applyAlignment="1">
      <alignment horizontal="left" indent="20"/>
    </xf>
    <xf numFmtId="0" fontId="40" fillId="0" borderId="0" xfId="5" applyFont="1" applyFill="1" applyAlignment="1">
      <alignment horizontal="center" vertical="center"/>
    </xf>
    <xf numFmtId="166" fontId="40" fillId="0" borderId="0" xfId="5" applyNumberFormat="1" applyFont="1" applyFill="1"/>
    <xf numFmtId="0" fontId="49" fillId="0" borderId="0" xfId="5" applyFont="1" applyFill="1" applyBorder="1"/>
    <xf numFmtId="0" fontId="40" fillId="0" borderId="0" xfId="42" applyFont="1" applyFill="1" applyAlignment="1">
      <alignment horizontal="left" vertical="top"/>
    </xf>
    <xf numFmtId="168" fontId="40" fillId="0" borderId="0" xfId="5" applyNumberFormat="1" applyFont="1" applyFill="1" applyBorder="1" applyAlignment="1">
      <alignment horizontal="right"/>
    </xf>
    <xf numFmtId="168" fontId="9" fillId="0" borderId="0" xfId="5" applyNumberFormat="1" applyFont="1" applyFill="1" applyBorder="1" applyAlignment="1">
      <alignment horizontal="right"/>
    </xf>
    <xf numFmtId="0" fontId="104" fillId="0" borderId="0" xfId="41" applyFont="1"/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74" fontId="8" fillId="0" borderId="0" xfId="41" applyNumberFormat="1"/>
    <xf numFmtId="49" fontId="9" fillId="0" borderId="0" xfId="5" applyNumberFormat="1" applyFont="1" applyFill="1" applyAlignment="1">
      <alignment horizontal="right" vertical="center"/>
    </xf>
    <xf numFmtId="49" fontId="50" fillId="0" borderId="14" xfId="14" applyNumberFormat="1" applyFont="1" applyFill="1" applyBorder="1" applyAlignment="1">
      <alignment horizontal="center" vertical="center" wrapText="1"/>
    </xf>
    <xf numFmtId="0" fontId="32" fillId="0" borderId="0" xfId="9" applyFont="1" applyAlignment="1"/>
    <xf numFmtId="0" fontId="32" fillId="0" borderId="0" xfId="9" applyFont="1" applyAlignment="1">
      <alignment vertical="center"/>
    </xf>
    <xf numFmtId="0" fontId="54" fillId="0" borderId="0" xfId="7" applyFont="1" applyFill="1" applyAlignment="1"/>
    <xf numFmtId="0" fontId="54" fillId="0" borderId="0" xfId="32" applyFont="1" applyAlignment="1"/>
    <xf numFmtId="166" fontId="12" fillId="0" borderId="7" xfId="34" applyNumberFormat="1" applyFont="1" applyFill="1" applyBorder="1" applyAlignment="1">
      <alignment horizontal="left" vertical="center" wrapText="1"/>
    </xf>
    <xf numFmtId="166" fontId="13" fillId="0" borderId="18" xfId="34" applyNumberFormat="1" applyFont="1" applyFill="1" applyBorder="1" applyAlignment="1">
      <alignment horizontal="right"/>
    </xf>
    <xf numFmtId="166" fontId="16" fillId="0" borderId="28" xfId="34" applyNumberFormat="1" applyFont="1" applyFill="1" applyBorder="1" applyAlignment="1">
      <alignment horizontal="center" vertical="center"/>
    </xf>
    <xf numFmtId="0" fontId="12" fillId="0" borderId="4" xfId="0" applyFont="1" applyFill="1" applyBorder="1"/>
    <xf numFmtId="49" fontId="15" fillId="0" borderId="4" xfId="3" applyNumberFormat="1" applyFont="1" applyFill="1" applyBorder="1" applyAlignment="1">
      <alignment horizontal="center" vertical="center" wrapText="1"/>
    </xf>
    <xf numFmtId="167" fontId="11" fillId="0" borderId="4" xfId="34" applyNumberFormat="1" applyFont="1" applyFill="1" applyBorder="1" applyAlignment="1">
      <alignment horizontal="right" vertical="center" wrapText="1"/>
    </xf>
    <xf numFmtId="168" fontId="15" fillId="0" borderId="4" xfId="3" applyNumberFormat="1" applyFont="1" applyFill="1" applyBorder="1" applyAlignment="1">
      <alignment horizontal="center" vertical="center" wrapText="1"/>
    </xf>
    <xf numFmtId="168" fontId="12" fillId="0" borderId="74" xfId="3" applyNumberFormat="1" applyFont="1" applyFill="1" applyBorder="1" applyAlignment="1">
      <alignment horizontal="right" vertical="center" wrapText="1"/>
    </xf>
    <xf numFmtId="167" fontId="11" fillId="0" borderId="59" xfId="34" applyNumberFormat="1" applyFont="1" applyFill="1" applyBorder="1" applyAlignment="1">
      <alignment horizontal="right" vertical="center" wrapText="1"/>
    </xf>
    <xf numFmtId="167" fontId="11" fillId="0" borderId="74" xfId="34" applyNumberFormat="1" applyFont="1" applyFill="1" applyBorder="1" applyAlignment="1">
      <alignment horizontal="right" vertical="center" wrapText="1"/>
    </xf>
    <xf numFmtId="167" fontId="9" fillId="0" borderId="0" xfId="1" applyNumberFormat="1" applyFont="1" applyFill="1"/>
    <xf numFmtId="166" fontId="97" fillId="0" borderId="19" xfId="34" applyNumberFormat="1" applyFont="1" applyFill="1" applyBorder="1" applyAlignment="1">
      <alignment horizontal="right" vertical="center" wrapText="1"/>
    </xf>
    <xf numFmtId="166" fontId="97" fillId="0" borderId="7" xfId="34" applyNumberFormat="1" applyFont="1" applyFill="1" applyBorder="1" applyAlignment="1">
      <alignment horizontal="right" vertical="center" wrapText="1"/>
    </xf>
    <xf numFmtId="166" fontId="97" fillId="0" borderId="1" xfId="34" applyNumberFormat="1" applyFont="1" applyFill="1" applyBorder="1" applyAlignment="1">
      <alignment horizontal="right" vertical="center" wrapText="1"/>
    </xf>
    <xf numFmtId="166" fontId="97" fillId="0" borderId="14" xfId="34" applyNumberFormat="1" applyFont="1" applyFill="1" applyBorder="1" applyAlignment="1">
      <alignment horizontal="right" vertical="center" wrapText="1"/>
    </xf>
    <xf numFmtId="43" fontId="55" fillId="0" borderId="45" xfId="26" applyFont="1" applyFill="1" applyBorder="1" applyAlignment="1">
      <alignment horizontal="right"/>
    </xf>
    <xf numFmtId="166" fontId="8" fillId="0" borderId="1" xfId="7" applyNumberFormat="1" applyFill="1" applyBorder="1" applyAlignment="1">
      <alignment horizontal="center" vertical="center"/>
    </xf>
    <xf numFmtId="166" fontId="8" fillId="0" borderId="7" xfId="7" applyNumberFormat="1" applyFill="1" applyBorder="1" applyAlignment="1">
      <alignment horizontal="center" vertical="center"/>
    </xf>
    <xf numFmtId="168" fontId="53" fillId="0" borderId="0" xfId="25" applyNumberFormat="1" applyFont="1" applyFill="1" applyBorder="1" applyAlignment="1"/>
    <xf numFmtId="168" fontId="53" fillId="0" borderId="0" xfId="7" applyNumberFormat="1" applyFont="1" applyFill="1" applyBorder="1" applyAlignment="1"/>
    <xf numFmtId="0" fontId="102" fillId="0" borderId="1" xfId="42" applyFont="1" applyFill="1" applyBorder="1" applyAlignment="1">
      <alignment horizontal="left" vertical="center" wrapText="1"/>
    </xf>
    <xf numFmtId="0" fontId="103" fillId="0" borderId="1" xfId="42" applyFont="1" applyFill="1" applyBorder="1" applyAlignment="1">
      <alignment horizontal="left" vertical="center" wrapText="1"/>
    </xf>
    <xf numFmtId="49" fontId="103" fillId="7" borderId="1" xfId="42" applyNumberFormat="1" applyFont="1" applyFill="1" applyBorder="1" applyAlignment="1">
      <alignment horizontal="center" vertical="center" wrapText="1"/>
    </xf>
    <xf numFmtId="168" fontId="103" fillId="7" borderId="1" xfId="43" applyNumberFormat="1" applyFont="1" applyFill="1" applyBorder="1" applyAlignment="1">
      <alignment horizontal="right" vertical="center" wrapText="1"/>
    </xf>
    <xf numFmtId="49" fontId="105" fillId="7" borderId="1" xfId="42" applyNumberFormat="1" applyFont="1" applyFill="1" applyBorder="1" applyAlignment="1">
      <alignment horizontal="center" vertical="center" wrapText="1"/>
    </xf>
    <xf numFmtId="0" fontId="101" fillId="0" borderId="29" xfId="42" applyFont="1" applyFill="1" applyBorder="1" applyAlignment="1">
      <alignment horizontal="center" vertical="center" wrapText="1"/>
    </xf>
    <xf numFmtId="0" fontId="101" fillId="0" borderId="26" xfId="42" applyFont="1" applyFill="1" applyBorder="1" applyAlignment="1">
      <alignment horizontal="center" vertical="center" wrapText="1"/>
    </xf>
    <xf numFmtId="0" fontId="101" fillId="0" borderId="25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0" fontId="103" fillId="0" borderId="8" xfId="42" applyFont="1" applyFill="1" applyBorder="1" applyAlignment="1">
      <alignment horizontal="center" vertical="center" wrapText="1"/>
    </xf>
    <xf numFmtId="168" fontId="103" fillId="7" borderId="9" xfId="43" applyNumberFormat="1" applyFont="1" applyFill="1" applyBorder="1" applyAlignment="1">
      <alignment horizontal="right" vertical="center" wrapText="1"/>
    </xf>
    <xf numFmtId="166" fontId="101" fillId="7" borderId="5" xfId="5" applyNumberFormat="1" applyFont="1" applyFill="1" applyBorder="1" applyAlignment="1">
      <alignment horizontal="left" vertical="center" wrapText="1"/>
    </xf>
    <xf numFmtId="166" fontId="101" fillId="7" borderId="4" xfId="5" applyNumberFormat="1" applyFont="1" applyFill="1" applyBorder="1" applyAlignment="1">
      <alignment horizontal="left" vertical="center" wrapText="1"/>
    </xf>
    <xf numFmtId="49" fontId="102" fillId="7" borderId="4" xfId="5" applyNumberFormat="1" applyFont="1" applyFill="1" applyBorder="1" applyAlignment="1">
      <alignment horizontal="center" vertical="center" wrapText="1"/>
    </xf>
    <xf numFmtId="174" fontId="101" fillId="7" borderId="4" xfId="5" applyNumberFormat="1" applyFont="1" applyFill="1" applyBorder="1" applyAlignment="1">
      <alignment horizontal="right" vertical="center"/>
    </xf>
    <xf numFmtId="168" fontId="102" fillId="7" borderId="4" xfId="43" applyNumberFormat="1" applyFont="1" applyFill="1" applyBorder="1" applyAlignment="1">
      <alignment horizontal="right" vertical="center" wrapText="1"/>
    </xf>
    <xf numFmtId="168" fontId="102" fillId="7" borderId="3" xfId="43" applyNumberFormat="1" applyFont="1" applyFill="1" applyBorder="1" applyAlignment="1">
      <alignment horizontal="right" vertical="center" wrapText="1"/>
    </xf>
    <xf numFmtId="0" fontId="36" fillId="0" borderId="0" xfId="7" applyFont="1" applyFill="1" applyAlignment="1">
      <alignment horizontal="right"/>
    </xf>
    <xf numFmtId="0" fontId="32" fillId="0" borderId="0" xfId="9" applyFont="1" applyFill="1" applyAlignment="1">
      <alignment horizontal="right" vertical="center"/>
    </xf>
    <xf numFmtId="49" fontId="15" fillId="0" borderId="7" xfId="3" applyNumberFormat="1" applyFont="1" applyFill="1" applyBorder="1" applyAlignment="1">
      <alignment horizontal="center" vertical="center" wrapText="1"/>
    </xf>
    <xf numFmtId="172" fontId="12" fillId="0" borderId="1" xfId="11" applyNumberFormat="1" applyFont="1" applyFill="1" applyBorder="1" applyAlignment="1" applyProtection="1">
      <alignment horizontal="left" vertical="center" wrapText="1"/>
    </xf>
    <xf numFmtId="0" fontId="12" fillId="0" borderId="2" xfId="3" applyFont="1" applyFill="1" applyBorder="1" applyAlignment="1">
      <alignment horizontal="center" vertical="center"/>
    </xf>
    <xf numFmtId="166" fontId="32" fillId="0" borderId="0" xfId="24" applyNumberFormat="1" applyFont="1" applyFill="1" applyAlignment="1">
      <alignment horizontal="right"/>
    </xf>
    <xf numFmtId="166" fontId="32" fillId="0" borderId="52" xfId="0" applyNumberFormat="1" applyFont="1" applyFill="1" applyBorder="1" applyAlignment="1">
      <alignment horizontal="right" vertical="distributed"/>
    </xf>
    <xf numFmtId="175" fontId="53" fillId="0" borderId="1" xfId="34" applyNumberFormat="1" applyFont="1" applyFill="1" applyBorder="1" applyAlignment="1"/>
    <xf numFmtId="175" fontId="53" fillId="0" borderId="1" xfId="7" applyNumberFormat="1" applyFont="1" applyFill="1" applyBorder="1" applyAlignment="1"/>
    <xf numFmtId="175" fontId="53" fillId="0" borderId="45" xfId="26" applyNumberFormat="1" applyFont="1" applyFill="1" applyBorder="1" applyAlignment="1"/>
    <xf numFmtId="175" fontId="53" fillId="0" borderId="47" xfId="26" applyNumberFormat="1" applyFont="1" applyFill="1" applyBorder="1" applyAlignment="1"/>
    <xf numFmtId="175" fontId="32" fillId="0" borderId="47" xfId="26" applyNumberFormat="1" applyFont="1" applyFill="1" applyBorder="1" applyAlignment="1">
      <alignment vertical="distributed"/>
    </xf>
    <xf numFmtId="176" fontId="32" fillId="0" borderId="43" xfId="26" applyNumberFormat="1" applyFont="1" applyFill="1" applyBorder="1" applyAlignment="1">
      <alignment horizontal="right" vertical="distributed"/>
    </xf>
    <xf numFmtId="0" fontId="32" fillId="0" borderId="0" xfId="9" applyFont="1" applyFill="1" applyAlignment="1">
      <alignment vertical="center"/>
    </xf>
    <xf numFmtId="168" fontId="36" fillId="0" borderId="0" xfId="7" applyNumberFormat="1" applyFont="1" applyFill="1" applyAlignment="1"/>
    <xf numFmtId="168" fontId="32" fillId="0" borderId="0" xfId="9" applyNumberFormat="1" applyFont="1" applyFill="1" applyAlignment="1">
      <alignment horizontal="right" vertical="center"/>
    </xf>
    <xf numFmtId="168" fontId="12" fillId="0" borderId="0" xfId="9" applyNumberFormat="1" applyFont="1" applyFill="1" applyAlignment="1">
      <alignment vertical="center"/>
    </xf>
    <xf numFmtId="168" fontId="14" fillId="0" borderId="0" xfId="24" applyNumberFormat="1" applyFont="1" applyFill="1" applyAlignment="1">
      <alignment horizontal="center" vertical="center"/>
    </xf>
    <xf numFmtId="168" fontId="14" fillId="0" borderId="0" xfId="24" applyNumberFormat="1" applyFont="1" applyFill="1"/>
    <xf numFmtId="168" fontId="14" fillId="0" borderId="0" xfId="3" applyNumberFormat="1" applyFont="1" applyFill="1" applyBorder="1" applyAlignment="1">
      <alignment horizontal="center"/>
    </xf>
    <xf numFmtId="177" fontId="9" fillId="0" borderId="0" xfId="46" applyNumberFormat="1" applyFont="1" applyFill="1" applyAlignment="1">
      <alignment horizontal="right"/>
    </xf>
    <xf numFmtId="176" fontId="9" fillId="0" borderId="0" xfId="46" applyNumberFormat="1" applyFont="1" applyFill="1"/>
    <xf numFmtId="177" fontId="9" fillId="0" borderId="0" xfId="46" applyNumberFormat="1" applyFont="1" applyFill="1"/>
    <xf numFmtId="168" fontId="51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80" fontId="9" fillId="0" borderId="0" xfId="3" applyNumberFormat="1" applyFont="1" applyFill="1"/>
    <xf numFmtId="168" fontId="86" fillId="0" borderId="0" xfId="3" applyNumberFormat="1" applyFont="1" applyFill="1"/>
    <xf numFmtId="168" fontId="18" fillId="0" borderId="19" xfId="34" applyNumberFormat="1" applyFont="1" applyFill="1" applyBorder="1" applyAlignment="1">
      <alignment horizontal="right" vertical="center" wrapText="1"/>
    </xf>
    <xf numFmtId="168" fontId="48" fillId="0" borderId="0" xfId="3" applyNumberFormat="1" applyFont="1" applyFill="1"/>
    <xf numFmtId="168" fontId="18" fillId="0" borderId="9" xfId="34" applyNumberFormat="1" applyFont="1" applyFill="1" applyBorder="1" applyAlignment="1">
      <alignment horizontal="right" vertical="center" wrapText="1"/>
    </xf>
    <xf numFmtId="0" fontId="51" fillId="0" borderId="35" xfId="5" applyFont="1" applyFill="1" applyBorder="1" applyAlignment="1">
      <alignment horizontal="center" vertical="center"/>
    </xf>
    <xf numFmtId="172" fontId="77" fillId="0" borderId="36" xfId="5" applyNumberFormat="1" applyFont="1" applyFill="1" applyBorder="1" applyAlignment="1">
      <alignment horizontal="left" vertical="center" wrapText="1"/>
    </xf>
    <xf numFmtId="166" fontId="50" fillId="0" borderId="36" xfId="5" applyNumberFormat="1" applyFont="1" applyFill="1" applyBorder="1" applyAlignment="1">
      <alignment horizontal="left" vertical="center" wrapText="1"/>
    </xf>
    <xf numFmtId="49" fontId="50" fillId="0" borderId="36" xfId="5" applyNumberFormat="1" applyFont="1" applyFill="1" applyBorder="1" applyAlignment="1">
      <alignment horizontal="center" vertical="center" wrapText="1"/>
    </xf>
    <xf numFmtId="49" fontId="50" fillId="0" borderId="58" xfId="5" applyNumberFormat="1" applyFont="1" applyFill="1" applyBorder="1" applyAlignment="1">
      <alignment horizontal="center" vertical="center" wrapText="1"/>
    </xf>
    <xf numFmtId="168" fontId="42" fillId="0" borderId="12" xfId="5" applyNumberFormat="1" applyFont="1" applyFill="1" applyBorder="1" applyAlignment="1">
      <alignment horizontal="right" vertical="center" wrapText="1"/>
    </xf>
    <xf numFmtId="168" fontId="42" fillId="0" borderId="36" xfId="5" applyNumberFormat="1" applyFont="1" applyFill="1" applyBorder="1" applyAlignment="1">
      <alignment horizontal="right" vertical="center" wrapText="1"/>
    </xf>
    <xf numFmtId="0" fontId="50" fillId="0" borderId="29" xfId="5" applyFont="1" applyFill="1" applyBorder="1" applyAlignment="1">
      <alignment horizontal="center" vertical="center"/>
    </xf>
    <xf numFmtId="0" fontId="77" fillId="0" borderId="27" xfId="9" applyFont="1" applyFill="1" applyBorder="1" applyAlignment="1">
      <alignment wrapText="1"/>
    </xf>
    <xf numFmtId="166" fontId="50" fillId="0" borderId="26" xfId="11" applyNumberFormat="1" applyFont="1" applyFill="1" applyBorder="1" applyAlignment="1" applyProtection="1">
      <alignment horizontal="left" vertical="center" wrapText="1"/>
    </xf>
    <xf numFmtId="49" fontId="50" fillId="0" borderId="68" xfId="5" applyNumberFormat="1" applyFont="1" applyFill="1" applyBorder="1" applyAlignment="1">
      <alignment horizontal="center" vertical="center" wrapText="1"/>
    </xf>
    <xf numFmtId="168" fontId="77" fillId="0" borderId="69" xfId="5" applyNumberFormat="1" applyFont="1" applyFill="1" applyBorder="1" applyAlignment="1">
      <alignment horizontal="right" vertical="center"/>
    </xf>
    <xf numFmtId="168" fontId="42" fillId="0" borderId="28" xfId="5" applyNumberFormat="1" applyFont="1" applyFill="1" applyBorder="1" applyAlignment="1">
      <alignment horizontal="right" vertical="center"/>
    </xf>
    <xf numFmtId="168" fontId="42" fillId="0" borderId="26" xfId="5" applyNumberFormat="1" applyFont="1" applyFill="1" applyBorder="1" applyAlignment="1">
      <alignment horizontal="right" vertical="center"/>
    </xf>
    <xf numFmtId="168" fontId="9" fillId="0" borderId="27" xfId="3" applyNumberFormat="1" applyFont="1" applyFill="1" applyBorder="1"/>
    <xf numFmtId="168" fontId="77" fillId="0" borderId="25" xfId="5" applyNumberFormat="1" applyFont="1" applyFill="1" applyBorder="1" applyAlignment="1">
      <alignment horizontal="right" vertical="center"/>
    </xf>
    <xf numFmtId="181" fontId="9" fillId="0" borderId="0" xfId="3" applyNumberFormat="1" applyFont="1" applyFill="1"/>
    <xf numFmtId="168" fontId="9" fillId="0" borderId="0" xfId="3" applyNumberFormat="1" applyFont="1" applyFill="1" applyBorder="1"/>
    <xf numFmtId="168" fontId="48" fillId="0" borderId="0" xfId="3" applyNumberFormat="1" applyFont="1" applyFill="1" applyBorder="1"/>
    <xf numFmtId="168" fontId="14" fillId="0" borderId="0" xfId="3" applyNumberFormat="1" applyFont="1" applyFill="1" applyBorder="1"/>
    <xf numFmtId="167" fontId="9" fillId="0" borderId="0" xfId="24" applyNumberFormat="1" applyFont="1" applyFill="1"/>
    <xf numFmtId="168" fontId="86" fillId="0" borderId="0" xfId="3" applyNumberFormat="1" applyFont="1" applyFill="1" applyBorder="1"/>
    <xf numFmtId="0" fontId="18" fillId="0" borderId="7" xfId="9" applyFont="1" applyFill="1" applyBorder="1" applyAlignment="1">
      <alignment horizontal="left" vertical="center" wrapText="1"/>
    </xf>
    <xf numFmtId="49" fontId="51" fillId="0" borderId="1" xfId="9" applyNumberFormat="1" applyFont="1" applyFill="1" applyBorder="1" applyAlignment="1">
      <alignment horizontal="center" vertical="center" wrapText="1"/>
    </xf>
    <xf numFmtId="168" fontId="76" fillId="0" borderId="19" xfId="9" applyNumberFormat="1" applyFont="1" applyFill="1" applyBorder="1" applyAlignment="1">
      <alignment horizontal="right" vertical="center" wrapText="1"/>
    </xf>
    <xf numFmtId="168" fontId="76" fillId="0" borderId="64" xfId="9" applyNumberFormat="1" applyFont="1" applyFill="1" applyBorder="1" applyAlignment="1">
      <alignment horizontal="right" vertical="center" wrapText="1"/>
    </xf>
    <xf numFmtId="171" fontId="106" fillId="0" borderId="19" xfId="5" applyNumberFormat="1" applyFont="1" applyFill="1" applyBorder="1" applyAlignment="1">
      <alignment horizontal="right" vertical="center" wrapText="1"/>
    </xf>
    <xf numFmtId="0" fontId="51" fillId="0" borderId="7" xfId="37" applyFont="1" applyFill="1" applyBorder="1" applyAlignment="1">
      <alignment vertical="top" wrapText="1"/>
    </xf>
    <xf numFmtId="0" fontId="80" fillId="0" borderId="1" xfId="9" applyFont="1" applyFill="1" applyBorder="1" applyAlignment="1">
      <alignment horizontal="left" vertical="center" wrapText="1"/>
    </xf>
    <xf numFmtId="172" fontId="78" fillId="0" borderId="23" xfId="5" applyNumberFormat="1" applyFont="1" applyFill="1" applyBorder="1" applyAlignment="1">
      <alignment vertical="center" wrapText="1"/>
    </xf>
    <xf numFmtId="172" fontId="51" fillId="0" borderId="23" xfId="5" applyNumberFormat="1" applyFont="1" applyFill="1" applyBorder="1" applyAlignment="1">
      <alignment vertical="center" wrapText="1"/>
    </xf>
    <xf numFmtId="0" fontId="71" fillId="0" borderId="1" xfId="9" applyFont="1" applyFill="1" applyBorder="1" applyAlignment="1">
      <alignment horizontal="left" vertical="center" wrapText="1"/>
    </xf>
    <xf numFmtId="0" fontId="81" fillId="0" borderId="1" xfId="9" applyFont="1" applyFill="1" applyBorder="1" applyAlignment="1">
      <alignment horizontal="left" vertical="center" wrapText="1"/>
    </xf>
    <xf numFmtId="0" fontId="71" fillId="0" borderId="1" xfId="9" applyFont="1" applyFill="1" applyBorder="1" applyAlignment="1">
      <alignment vertical="center" wrapText="1"/>
    </xf>
    <xf numFmtId="49" fontId="9" fillId="0" borderId="14" xfId="9" applyNumberFormat="1" applyFont="1" applyFill="1" applyBorder="1" applyAlignment="1">
      <alignment horizontal="center" vertical="center" wrapText="1"/>
    </xf>
    <xf numFmtId="49" fontId="51" fillId="0" borderId="14" xfId="9" applyNumberFormat="1" applyFont="1" applyFill="1" applyBorder="1" applyAlignment="1">
      <alignment horizontal="center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168" fontId="18" fillId="0" borderId="1" xfId="5" applyNumberFormat="1" applyFont="1" applyFill="1" applyBorder="1" applyAlignment="1">
      <alignment horizontal="right" vertical="center" wrapText="1"/>
    </xf>
    <xf numFmtId="0" fontId="71" fillId="0" borderId="23" xfId="9" applyFont="1" applyFill="1" applyBorder="1" applyAlignment="1">
      <alignment horizontal="left" vertical="center" wrapText="1"/>
    </xf>
    <xf numFmtId="49" fontId="51" fillId="0" borderId="7" xfId="5" applyNumberFormat="1" applyFont="1" applyFill="1" applyBorder="1" applyAlignment="1">
      <alignment horizontal="center" vertical="center" wrapText="1"/>
    </xf>
    <xf numFmtId="49" fontId="51" fillId="0" borderId="9" xfId="5" applyNumberFormat="1" applyFont="1" applyFill="1" applyBorder="1" applyAlignment="1">
      <alignment horizontal="center" vertical="center" wrapText="1"/>
    </xf>
    <xf numFmtId="172" fontId="51" fillId="0" borderId="0" xfId="5" applyNumberFormat="1" applyFont="1" applyFill="1" applyBorder="1" applyAlignment="1">
      <alignment horizontal="left" vertical="center" wrapText="1" indent="2"/>
    </xf>
    <xf numFmtId="49" fontId="51" fillId="0" borderId="0" xfId="5" applyNumberFormat="1" applyFont="1" applyFill="1" applyBorder="1" applyAlignment="1">
      <alignment horizontal="center" vertical="center" wrapText="1"/>
    </xf>
    <xf numFmtId="172" fontId="51" fillId="0" borderId="16" xfId="5" applyNumberFormat="1" applyFont="1" applyFill="1" applyBorder="1" applyAlignment="1">
      <alignment horizontal="left" vertical="center" wrapText="1" indent="2"/>
    </xf>
    <xf numFmtId="49" fontId="51" fillId="0" borderId="16" xfId="5" applyNumberFormat="1" applyFont="1" applyFill="1" applyBorder="1" applyAlignment="1">
      <alignment horizontal="center" vertical="center" wrapText="1"/>
    </xf>
    <xf numFmtId="168" fontId="100" fillId="0" borderId="0" xfId="3" applyNumberFormat="1" applyFont="1" applyFill="1" applyBorder="1"/>
    <xf numFmtId="168" fontId="79" fillId="0" borderId="20" xfId="5" applyNumberFormat="1" applyFont="1" applyFill="1" applyBorder="1" applyAlignment="1">
      <alignment horizontal="right" vertical="center" wrapText="1"/>
    </xf>
    <xf numFmtId="168" fontId="58" fillId="0" borderId="9" xfId="5" applyNumberFormat="1" applyFont="1" applyFill="1" applyBorder="1" applyAlignment="1">
      <alignment horizontal="right" vertical="center" wrapText="1"/>
    </xf>
    <xf numFmtId="168" fontId="58" fillId="0" borderId="34" xfId="5" applyNumberFormat="1" applyFont="1" applyFill="1" applyBorder="1" applyAlignment="1">
      <alignment horizontal="right" vertical="center" wrapText="1"/>
    </xf>
    <xf numFmtId="168" fontId="58" fillId="0" borderId="37" xfId="5" applyNumberFormat="1" applyFont="1" applyFill="1" applyBorder="1" applyAlignment="1">
      <alignment horizontal="right" vertical="center" wrapText="1"/>
    </xf>
    <xf numFmtId="168" fontId="79" fillId="0" borderId="31" xfId="5" applyNumberFormat="1" applyFont="1" applyFill="1" applyBorder="1" applyAlignment="1">
      <alignment horizontal="right" vertical="center" wrapText="1"/>
    </xf>
    <xf numFmtId="168" fontId="79" fillId="0" borderId="9" xfId="5" applyNumberFormat="1" applyFont="1" applyFill="1" applyBorder="1" applyAlignment="1">
      <alignment horizontal="right" vertical="center" wrapText="1"/>
    </xf>
    <xf numFmtId="168" fontId="77" fillId="0" borderId="1" xfId="5" applyNumberFormat="1" applyFont="1" applyFill="1" applyBorder="1" applyAlignment="1">
      <alignment horizontal="right" vertical="center" wrapText="1"/>
    </xf>
    <xf numFmtId="0" fontId="76" fillId="0" borderId="1" xfId="9" applyFont="1" applyFill="1" applyBorder="1" applyAlignment="1">
      <alignment horizontal="left" vertical="center" wrapText="1"/>
    </xf>
    <xf numFmtId="168" fontId="58" fillId="0" borderId="3" xfId="5" applyNumberFormat="1" applyFont="1" applyFill="1" applyBorder="1" applyAlignment="1">
      <alignment horizontal="right" vertical="center" wrapText="1"/>
    </xf>
    <xf numFmtId="168" fontId="18" fillId="0" borderId="70" xfId="34" applyNumberFormat="1" applyFont="1" applyFill="1" applyBorder="1" applyAlignment="1">
      <alignment horizontal="right" vertical="center" wrapText="1"/>
    </xf>
    <xf numFmtId="168" fontId="40" fillId="0" borderId="65" xfId="5" applyNumberFormat="1" applyFont="1" applyFill="1" applyBorder="1" applyAlignment="1">
      <alignment horizontal="right" vertical="center"/>
    </xf>
    <xf numFmtId="168" fontId="18" fillId="0" borderId="34" xfId="34" applyNumberFormat="1" applyFont="1" applyFill="1" applyBorder="1" applyAlignment="1">
      <alignment horizontal="right" vertical="center" wrapText="1"/>
    </xf>
    <xf numFmtId="168" fontId="18" fillId="0" borderId="66" xfId="34" applyNumberFormat="1" applyFont="1" applyFill="1" applyBorder="1" applyAlignment="1">
      <alignment horizontal="right" vertical="center" wrapText="1"/>
    </xf>
    <xf numFmtId="168" fontId="40" fillId="0" borderId="59" xfId="5" applyNumberFormat="1" applyFont="1" applyFill="1" applyBorder="1" applyAlignment="1">
      <alignment horizontal="right" vertical="center"/>
    </xf>
    <xf numFmtId="168" fontId="40" fillId="0" borderId="74" xfId="5" applyNumberFormat="1" applyFont="1" applyFill="1" applyBorder="1" applyAlignment="1">
      <alignment horizontal="right" vertical="center"/>
    </xf>
    <xf numFmtId="168" fontId="48" fillId="0" borderId="38" xfId="3" applyNumberFormat="1" applyFont="1" applyFill="1" applyBorder="1"/>
    <xf numFmtId="168" fontId="9" fillId="0" borderId="38" xfId="3" applyNumberFormat="1" applyFont="1" applyFill="1" applyBorder="1"/>
    <xf numFmtId="168" fontId="18" fillId="0" borderId="3" xfId="34" applyNumberFormat="1" applyFont="1" applyFill="1" applyBorder="1" applyAlignment="1">
      <alignment horizontal="right" vertical="center" wrapText="1"/>
    </xf>
    <xf numFmtId="176" fontId="9" fillId="0" borderId="0" xfId="46" applyNumberFormat="1" applyFont="1" applyFill="1" applyAlignment="1"/>
    <xf numFmtId="176" fontId="9" fillId="0" borderId="0" xfId="34" applyNumberFormat="1" applyFont="1" applyFill="1" applyAlignment="1">
      <alignment horizontal="right"/>
    </xf>
    <xf numFmtId="176" fontId="36" fillId="0" borderId="0" xfId="46" applyNumberFormat="1" applyFont="1" applyFill="1" applyAlignment="1"/>
    <xf numFmtId="176" fontId="36" fillId="0" borderId="0" xfId="7" applyNumberFormat="1" applyFont="1" applyFill="1" applyAlignment="1">
      <alignment horizontal="right"/>
    </xf>
    <xf numFmtId="176" fontId="36" fillId="0" borderId="0" xfId="7" applyNumberFormat="1" applyFont="1" applyFill="1" applyAlignment="1"/>
    <xf numFmtId="176" fontId="9" fillId="0" borderId="0" xfId="3" applyNumberFormat="1" applyFont="1" applyFill="1" applyAlignment="1">
      <alignment horizontal="center"/>
    </xf>
    <xf numFmtId="176" fontId="32" fillId="0" borderId="0" xfId="46" applyNumberFormat="1" applyFont="1" applyFill="1" applyAlignment="1">
      <alignment vertical="center"/>
    </xf>
    <xf numFmtId="176" fontId="32" fillId="0" borderId="0" xfId="3" applyNumberFormat="1" applyFont="1" applyFill="1" applyAlignment="1">
      <alignment horizontal="right" vertical="center"/>
    </xf>
    <xf numFmtId="176" fontId="37" fillId="0" borderId="0" xfId="9" applyNumberFormat="1" applyFont="1" applyFill="1" applyAlignment="1">
      <alignment vertical="center"/>
    </xf>
    <xf numFmtId="176" fontId="9" fillId="0" borderId="0" xfId="46" applyNumberFormat="1" applyFont="1" applyFill="1" applyAlignment="1">
      <alignment vertical="center"/>
    </xf>
    <xf numFmtId="176" fontId="9" fillId="0" borderId="0" xfId="3" applyNumberFormat="1" applyFont="1" applyFill="1" applyAlignment="1">
      <alignment horizontal="left" vertical="center"/>
    </xf>
    <xf numFmtId="176" fontId="9" fillId="0" borderId="0" xfId="3" applyNumberFormat="1" applyFont="1" applyFill="1" applyAlignment="1">
      <alignment horizontal="right" vertical="center"/>
    </xf>
    <xf numFmtId="176" fontId="32" fillId="0" borderId="0" xfId="9" applyNumberFormat="1" applyFont="1" applyFill="1" applyAlignment="1">
      <alignment horizontal="right" vertical="center"/>
    </xf>
    <xf numFmtId="176" fontId="33" fillId="0" borderId="0" xfId="46" applyNumberFormat="1" applyFont="1" applyFill="1" applyAlignment="1"/>
    <xf numFmtId="176" fontId="33" fillId="0" borderId="0" xfId="34" applyNumberFormat="1" applyFont="1" applyFill="1" applyAlignment="1">
      <alignment horizontal="right"/>
    </xf>
    <xf numFmtId="171" fontId="9" fillId="0" borderId="0" xfId="3" applyNumberFormat="1" applyFont="1" applyFill="1" applyAlignment="1">
      <alignment horizontal="left" vertical="center"/>
    </xf>
    <xf numFmtId="176" fontId="9" fillId="0" borderId="0" xfId="3" applyNumberFormat="1" applyFont="1" applyFill="1"/>
    <xf numFmtId="176" fontId="9" fillId="0" borderId="0" xfId="3" applyNumberFormat="1" applyFont="1" applyFill="1" applyAlignment="1">
      <alignment horizontal="right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69" fontId="26" fillId="0" borderId="1" xfId="9" applyNumberFormat="1" applyFont="1" applyFill="1" applyBorder="1" applyAlignment="1">
      <alignment horizontal="center" vertical="top" wrapText="1"/>
    </xf>
    <xf numFmtId="176" fontId="16" fillId="0" borderId="1" xfId="46" applyNumberFormat="1" applyFont="1" applyFill="1" applyBorder="1" applyAlignment="1">
      <alignment vertical="center"/>
    </xf>
    <xf numFmtId="176" fontId="16" fillId="0" borderId="1" xfId="34" applyNumberFormat="1" applyFont="1" applyFill="1" applyBorder="1" applyAlignment="1">
      <alignment horizontal="center" vertical="center"/>
    </xf>
    <xf numFmtId="176" fontId="16" fillId="0" borderId="1" xfId="34" applyNumberFormat="1" applyFont="1" applyFill="1" applyBorder="1" applyAlignment="1">
      <alignment horizontal="right" vertical="center"/>
    </xf>
    <xf numFmtId="176" fontId="22" fillId="0" borderId="1" xfId="46" applyNumberFormat="1" applyFont="1" applyFill="1" applyBorder="1" applyAlignment="1">
      <alignment vertical="center" wrapText="1"/>
    </xf>
    <xf numFmtId="176" fontId="22" fillId="0" borderId="1" xfId="34" applyNumberFormat="1" applyFont="1" applyFill="1" applyBorder="1" applyAlignment="1">
      <alignment horizontal="right" vertical="center" wrapText="1"/>
    </xf>
    <xf numFmtId="176" fontId="28" fillId="0" borderId="1" xfId="46" applyNumberFormat="1" applyFont="1" applyFill="1" applyBorder="1" applyAlignment="1">
      <alignment vertical="center" wrapText="1"/>
    </xf>
    <xf numFmtId="176" fontId="28" fillId="0" borderId="1" xfId="34" applyNumberFormat="1" applyFont="1" applyFill="1" applyBorder="1" applyAlignment="1">
      <alignment horizontal="right" vertical="center" wrapText="1"/>
    </xf>
    <xf numFmtId="176" fontId="13" fillId="0" borderId="1" xfId="46" applyNumberFormat="1" applyFont="1" applyFill="1" applyBorder="1" applyAlignment="1">
      <alignment vertical="center" wrapText="1"/>
    </xf>
    <xf numFmtId="176" fontId="13" fillId="0" borderId="1" xfId="34" applyNumberFormat="1" applyFont="1" applyFill="1" applyBorder="1" applyAlignment="1">
      <alignment horizontal="right" vertical="center" wrapText="1"/>
    </xf>
    <xf numFmtId="0" fontId="12" fillId="0" borderId="0" xfId="9" applyFont="1" applyFill="1"/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176" fontId="16" fillId="0" borderId="1" xfId="46" applyNumberFormat="1" applyFont="1" applyFill="1" applyBorder="1" applyAlignment="1">
      <alignment vertical="center" wrapText="1"/>
    </xf>
    <xf numFmtId="176" fontId="16" fillId="0" borderId="1" xfId="34" applyNumberFormat="1" applyFont="1" applyFill="1" applyBorder="1" applyAlignment="1">
      <alignment horizontal="right" vertical="center" wrapText="1"/>
    </xf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6" fillId="0" borderId="1" xfId="3" applyNumberFormat="1" applyFont="1" applyFill="1" applyBorder="1" applyAlignment="1">
      <alignment vertical="center" wrapText="1"/>
    </xf>
    <xf numFmtId="176" fontId="16" fillId="0" borderId="1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30" fillId="0" borderId="1" xfId="46" applyNumberFormat="1" applyFont="1" applyFill="1" applyBorder="1" applyAlignment="1">
      <alignment vertical="center" wrapText="1"/>
    </xf>
    <xf numFmtId="176" fontId="30" fillId="0" borderId="1" xfId="34" applyNumberFormat="1" applyFont="1" applyFill="1" applyBorder="1" applyAlignment="1">
      <alignment horizontal="right" vertical="center" wrapText="1"/>
    </xf>
    <xf numFmtId="176" fontId="11" fillId="0" borderId="1" xfId="3" applyNumberFormat="1" applyFont="1" applyFill="1" applyBorder="1" applyAlignment="1">
      <alignment vertical="center" wrapText="1"/>
    </xf>
    <xf numFmtId="176" fontId="11" fillId="0" borderId="1" xfId="3" applyNumberFormat="1" applyFont="1" applyFill="1" applyBorder="1" applyAlignment="1">
      <alignment horizontal="right" vertical="center" wrapText="1"/>
    </xf>
    <xf numFmtId="176" fontId="11" fillId="0" borderId="18" xfId="46" applyNumberFormat="1" applyFont="1" applyFill="1" applyBorder="1" applyAlignment="1">
      <alignment vertical="center" wrapText="1"/>
    </xf>
    <xf numFmtId="176" fontId="11" fillId="0" borderId="18" xfId="3" applyNumberFormat="1" applyFont="1" applyFill="1" applyBorder="1" applyAlignment="1">
      <alignment horizontal="right" vertical="center" wrapText="1"/>
    </xf>
    <xf numFmtId="0" fontId="12" fillId="0" borderId="0" xfId="9" applyFont="1" applyFill="1" applyAlignment="1">
      <alignment wrapText="1"/>
    </xf>
    <xf numFmtId="176" fontId="11" fillId="0" borderId="15" xfId="46" applyNumberFormat="1" applyFont="1" applyFill="1" applyBorder="1" applyAlignment="1">
      <alignment vertical="center" wrapText="1"/>
    </xf>
    <xf numFmtId="176" fontId="11" fillId="0" borderId="15" xfId="34" applyNumberFormat="1" applyFont="1" applyFill="1" applyBorder="1" applyAlignment="1">
      <alignment horizontal="right" vertical="center" wrapText="1"/>
    </xf>
    <xf numFmtId="176" fontId="16" fillId="0" borderId="7" xfId="46" applyNumberFormat="1" applyFont="1" applyFill="1" applyBorder="1" applyAlignment="1">
      <alignment vertical="center" wrapText="1"/>
    </xf>
    <xf numFmtId="176" fontId="16" fillId="0" borderId="7" xfId="3" applyNumberFormat="1" applyFont="1" applyFill="1" applyBorder="1" applyAlignment="1">
      <alignment vertical="center" wrapText="1"/>
    </xf>
    <xf numFmtId="176" fontId="16" fillId="0" borderId="7" xfId="3" applyNumberFormat="1" applyFont="1" applyFill="1" applyBorder="1" applyAlignment="1">
      <alignment horizontal="right" vertical="center" wrapText="1"/>
    </xf>
    <xf numFmtId="176" fontId="12" fillId="0" borderId="7" xfId="46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6" fillId="0" borderId="1" xfId="34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vertical="center" wrapText="1"/>
    </xf>
    <xf numFmtId="169" fontId="26" fillId="0" borderId="26" xfId="9" applyNumberFormat="1" applyFont="1" applyFill="1" applyBorder="1" applyAlignment="1">
      <alignment horizontal="center" vertical="top" wrapText="1"/>
    </xf>
    <xf numFmtId="169" fontId="26" fillId="0" borderId="68" xfId="9" applyNumberFormat="1" applyFont="1" applyFill="1" applyBorder="1" applyAlignment="1">
      <alignment horizontal="center" vertical="top" wrapText="1"/>
    </xf>
    <xf numFmtId="176" fontId="16" fillId="0" borderId="69" xfId="46" applyNumberFormat="1" applyFont="1" applyFill="1" applyBorder="1" applyAlignment="1">
      <alignment horizontal="center" vertical="center"/>
    </xf>
    <xf numFmtId="176" fontId="16" fillId="0" borderId="28" xfId="34" applyNumberFormat="1" applyFont="1" applyFill="1" applyBorder="1" applyAlignment="1">
      <alignment horizontal="center" vertical="center"/>
    </xf>
    <xf numFmtId="176" fontId="16" fillId="0" borderId="26" xfId="34" applyNumberFormat="1" applyFont="1" applyFill="1" applyBorder="1" applyAlignment="1">
      <alignment horizontal="center" vertical="center"/>
    </xf>
    <xf numFmtId="176" fontId="16" fillId="0" borderId="76" xfId="34" applyNumberFormat="1" applyFont="1" applyFill="1" applyBorder="1" applyAlignment="1">
      <alignment horizontal="right" vertical="center"/>
    </xf>
    <xf numFmtId="176" fontId="16" fillId="0" borderId="69" xfId="34" applyNumberFormat="1" applyFont="1" applyFill="1" applyBorder="1" applyAlignment="1">
      <alignment horizontal="right" vertical="center"/>
    </xf>
    <xf numFmtId="177" fontId="9" fillId="0" borderId="0" xfId="3" applyNumberFormat="1" applyFont="1" applyFill="1" applyBorder="1"/>
    <xf numFmtId="49" fontId="25" fillId="0" borderId="7" xfId="9" applyNumberFormat="1" applyFont="1" applyFill="1" applyBorder="1" applyAlignment="1">
      <alignment horizontal="left" vertical="top" wrapText="1"/>
    </xf>
    <xf numFmtId="176" fontId="16" fillId="0" borderId="19" xfId="46" applyNumberFormat="1" applyFont="1" applyFill="1" applyBorder="1" applyAlignment="1">
      <alignment vertical="center"/>
    </xf>
    <xf numFmtId="176" fontId="16" fillId="0" borderId="7" xfId="34" applyNumberFormat="1" applyFont="1" applyFill="1" applyBorder="1" applyAlignment="1">
      <alignment horizontal="right" vertical="center"/>
    </xf>
    <xf numFmtId="176" fontId="16" fillId="0" borderId="13" xfId="34" applyNumberFormat="1" applyFont="1" applyFill="1" applyBorder="1" applyAlignment="1">
      <alignment horizontal="right" vertical="center"/>
    </xf>
    <xf numFmtId="176" fontId="16" fillId="0" borderId="9" xfId="34" applyNumberFormat="1" applyFont="1" applyFill="1" applyBorder="1" applyAlignment="1">
      <alignment horizontal="right" vertical="center"/>
    </xf>
    <xf numFmtId="176" fontId="16" fillId="0" borderId="19" xfId="34" applyNumberFormat="1" applyFont="1" applyFill="1" applyBorder="1" applyAlignment="1">
      <alignment horizontal="right" vertical="center"/>
    </xf>
    <xf numFmtId="0" fontId="22" fillId="0" borderId="7" xfId="9" applyFont="1" applyFill="1" applyBorder="1" applyAlignment="1">
      <alignment horizontal="left" vertical="center"/>
    </xf>
    <xf numFmtId="176" fontId="16" fillId="0" borderId="7" xfId="34" applyNumberFormat="1" applyFont="1" applyFill="1" applyBorder="1" applyAlignment="1">
      <alignment horizontal="center" vertical="center"/>
    </xf>
    <xf numFmtId="176" fontId="16" fillId="0" borderId="10" xfId="34" applyNumberFormat="1" applyFont="1" applyFill="1" applyBorder="1" applyAlignment="1">
      <alignment horizontal="right" vertical="center"/>
    </xf>
    <xf numFmtId="176" fontId="16" fillId="0" borderId="19" xfId="46" applyNumberFormat="1" applyFont="1" applyFill="1" applyBorder="1" applyAlignment="1">
      <alignment vertical="center" wrapText="1"/>
    </xf>
    <xf numFmtId="176" fontId="16" fillId="0" borderId="7" xfId="34" applyNumberFormat="1" applyFont="1" applyFill="1" applyBorder="1" applyAlignment="1">
      <alignment vertical="center" wrapText="1"/>
    </xf>
    <xf numFmtId="176" fontId="16" fillId="0" borderId="13" xfId="34" applyNumberFormat="1" applyFont="1" applyFill="1" applyBorder="1" applyAlignment="1">
      <alignment horizontal="right" vertical="center" wrapText="1"/>
    </xf>
    <xf numFmtId="176" fontId="16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3" fillId="0" borderId="19" xfId="46" applyNumberFormat="1" applyFont="1" applyFill="1" applyBorder="1" applyAlignment="1">
      <alignment vertical="center" wrapText="1"/>
    </xf>
    <xf numFmtId="176" fontId="13" fillId="0" borderId="7" xfId="34" applyNumberFormat="1" applyFont="1" applyFill="1" applyBorder="1" applyAlignment="1">
      <alignment horizontal="right" vertical="center" wrapText="1"/>
    </xf>
    <xf numFmtId="176" fontId="13" fillId="0" borderId="14" xfId="34" applyNumberFormat="1" applyFont="1" applyFill="1" applyBorder="1" applyAlignment="1">
      <alignment horizontal="right" vertical="center" wrapText="1"/>
    </xf>
    <xf numFmtId="176" fontId="13" fillId="0" borderId="19" xfId="34" applyNumberFormat="1" applyFont="1" applyFill="1" applyBorder="1" applyAlignment="1">
      <alignment horizontal="right" vertical="center" wrapText="1"/>
    </xf>
    <xf numFmtId="0" fontId="12" fillId="0" borderId="1" xfId="9" applyFont="1" applyFill="1" applyBorder="1" applyAlignment="1">
      <alignment horizontal="justify" vertical="top" wrapText="1"/>
    </xf>
    <xf numFmtId="176" fontId="16" fillId="0" borderId="7" xfId="34" applyNumberFormat="1" applyFont="1" applyFill="1" applyBorder="1" applyAlignment="1">
      <alignment horizontal="right" vertical="center" wrapText="1"/>
    </xf>
    <xf numFmtId="176" fontId="16" fillId="0" borderId="14" xfId="34" applyNumberFormat="1" applyFont="1" applyFill="1" applyBorder="1" applyAlignment="1">
      <alignment horizontal="right" vertical="center" wrapText="1"/>
    </xf>
    <xf numFmtId="176" fontId="16" fillId="0" borderId="14" xfId="3" applyNumberFormat="1" applyFont="1" applyFill="1" applyBorder="1" applyAlignment="1">
      <alignment horizontal="right" vertical="center" wrapText="1"/>
    </xf>
    <xf numFmtId="176" fontId="16" fillId="0" borderId="19" xfId="3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horizontal="right" vertical="center" wrapText="1"/>
    </xf>
    <xf numFmtId="0" fontId="12" fillId="0" borderId="0" xfId="9" applyFont="1" applyFill="1" applyBorder="1"/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76" fontId="11" fillId="0" borderId="13" xfId="34" applyNumberFormat="1" applyFont="1" applyFill="1" applyBorder="1" applyAlignment="1">
      <alignment horizontal="right" vertical="center" wrapText="1"/>
    </xf>
    <xf numFmtId="167" fontId="9" fillId="0" borderId="0" xfId="24" applyNumberFormat="1" applyFont="1" applyFill="1" applyBorder="1"/>
    <xf numFmtId="0" fontId="12" fillId="0" borderId="1" xfId="9" applyFont="1" applyFill="1" applyBorder="1" applyAlignment="1">
      <alignment wrapText="1"/>
    </xf>
    <xf numFmtId="176" fontId="16" fillId="0" borderId="70" xfId="46" applyNumberFormat="1" applyFont="1" applyFill="1" applyBorder="1" applyAlignment="1">
      <alignment vertical="center" wrapText="1"/>
    </xf>
    <xf numFmtId="176" fontId="16" fillId="0" borderId="15" xfId="3" applyNumberFormat="1" applyFont="1" applyFill="1" applyBorder="1" applyAlignment="1">
      <alignment vertical="center" wrapText="1"/>
    </xf>
    <xf numFmtId="176" fontId="16" fillId="0" borderId="16" xfId="3" applyNumberFormat="1" applyFont="1" applyFill="1" applyBorder="1" applyAlignment="1">
      <alignment horizontal="right" vertical="center" wrapText="1"/>
    </xf>
    <xf numFmtId="176" fontId="16" fillId="0" borderId="70" xfId="3" applyNumberFormat="1" applyFont="1" applyFill="1" applyBorder="1" applyAlignment="1">
      <alignment horizontal="right" vertical="center" wrapText="1"/>
    </xf>
    <xf numFmtId="176" fontId="12" fillId="0" borderId="7" xfId="37" applyNumberFormat="1" applyFont="1" applyFill="1" applyBorder="1" applyAlignment="1">
      <alignment horizontal="left" vertical="center" wrapText="1"/>
    </xf>
    <xf numFmtId="176" fontId="12" fillId="0" borderId="1" xfId="37" applyNumberFormat="1" applyFont="1" applyFill="1" applyBorder="1" applyAlignment="1">
      <alignment horizontal="left" vertical="center" wrapText="1"/>
    </xf>
    <xf numFmtId="176" fontId="12" fillId="0" borderId="14" xfId="37" applyNumberFormat="1" applyFont="1" applyFill="1" applyBorder="1" applyAlignment="1">
      <alignment horizontal="right" vertical="center" wrapText="1"/>
    </xf>
    <xf numFmtId="176" fontId="12" fillId="0" borderId="19" xfId="37" applyNumberFormat="1" applyFont="1" applyFill="1" applyBorder="1" applyAlignment="1">
      <alignment horizontal="right" vertical="center" wrapText="1"/>
    </xf>
    <xf numFmtId="176" fontId="11" fillId="0" borderId="71" xfId="46" applyNumberFormat="1" applyFont="1" applyFill="1" applyBorder="1" applyAlignment="1">
      <alignment vertical="center" wrapText="1"/>
    </xf>
    <xf numFmtId="176" fontId="11" fillId="0" borderId="18" xfId="34" applyNumberFormat="1" applyFont="1" applyFill="1" applyBorder="1" applyAlignment="1">
      <alignment horizontal="right" vertical="center" wrapText="1"/>
    </xf>
    <xf numFmtId="176" fontId="11" fillId="0" borderId="2" xfId="34" applyNumberFormat="1" applyFont="1" applyFill="1" applyBorder="1" applyAlignment="1">
      <alignment horizontal="right" vertical="center" wrapText="1"/>
    </xf>
    <xf numFmtId="176" fontId="11" fillId="0" borderId="30" xfId="34" applyNumberFormat="1" applyFont="1" applyFill="1" applyBorder="1" applyAlignment="1">
      <alignment horizontal="right" vertical="center" wrapText="1"/>
    </xf>
    <xf numFmtId="176" fontId="11" fillId="0" borderId="71" xfId="34" applyNumberFormat="1" applyFont="1" applyFill="1" applyBorder="1" applyAlignment="1">
      <alignment horizontal="right" vertical="center" wrapText="1"/>
    </xf>
    <xf numFmtId="49" fontId="12" fillId="0" borderId="1" xfId="14" applyNumberFormat="1" applyFont="1" applyFill="1" applyBorder="1" applyAlignment="1">
      <alignment horizontal="center" vertical="center" wrapText="1"/>
    </xf>
    <xf numFmtId="176" fontId="11" fillId="0" borderId="7" xfId="3" applyNumberFormat="1" applyFont="1" applyFill="1" applyBorder="1" applyAlignment="1">
      <alignment vertical="center" wrapText="1"/>
    </xf>
    <xf numFmtId="176" fontId="11" fillId="0" borderId="14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6" fontId="11" fillId="0" borderId="14" xfId="38" applyNumberFormat="1" applyFont="1" applyFill="1" applyBorder="1" applyAlignment="1">
      <alignment horizontal="right" vertical="center" wrapText="1"/>
    </xf>
    <xf numFmtId="176" fontId="11" fillId="0" borderId="19" xfId="38" applyNumberFormat="1" applyFont="1" applyFill="1" applyBorder="1" applyAlignment="1">
      <alignment horizontal="right" vertical="center" wrapText="1"/>
    </xf>
    <xf numFmtId="0" fontId="12" fillId="0" borderId="0" xfId="9" applyFont="1" applyFill="1" applyBorder="1" applyAlignment="1">
      <alignment vertical="top" wrapText="1"/>
    </xf>
    <xf numFmtId="0" fontId="13" fillId="0" borderId="1" xfId="9" applyFont="1" applyFill="1" applyBorder="1" applyAlignment="1">
      <alignment horizontal="left" vertical="center" wrapText="1"/>
    </xf>
    <xf numFmtId="176" fontId="107" fillId="0" borderId="19" xfId="46" applyNumberFormat="1" applyFont="1" applyFill="1" applyBorder="1" applyAlignment="1">
      <alignment vertical="center" wrapText="1"/>
    </xf>
    <xf numFmtId="49" fontId="16" fillId="0" borderId="1" xfId="9" applyNumberFormat="1" applyFont="1" applyFill="1" applyBorder="1" applyAlignment="1">
      <alignment horizontal="center" vertical="center" wrapText="1"/>
    </xf>
    <xf numFmtId="176" fontId="16" fillId="0" borderId="14" xfId="9" applyNumberFormat="1" applyFont="1" applyFill="1" applyBorder="1" applyAlignment="1">
      <alignment horizontal="right" vertical="center" wrapText="1"/>
    </xf>
    <xf numFmtId="176" fontId="16" fillId="0" borderId="19" xfId="9" applyNumberFormat="1" applyFont="1" applyFill="1" applyBorder="1" applyAlignment="1">
      <alignment horizontal="right" vertical="center" wrapText="1"/>
    </xf>
    <xf numFmtId="49" fontId="12" fillId="0" borderId="1" xfId="9" applyNumberFormat="1" applyFont="1" applyFill="1" applyBorder="1" applyAlignment="1">
      <alignment horizontal="center" vertical="center" wrapText="1"/>
    </xf>
    <xf numFmtId="49" fontId="72" fillId="0" borderId="1" xfId="9" applyNumberFormat="1" applyFont="1" applyFill="1" applyBorder="1" applyAlignment="1">
      <alignment horizontal="center" vertical="center" wrapText="1"/>
    </xf>
    <xf numFmtId="176" fontId="11" fillId="0" borderId="14" xfId="9" applyNumberFormat="1" applyFont="1" applyFill="1" applyBorder="1" applyAlignment="1">
      <alignment horizontal="right" vertical="center" wrapText="1"/>
    </xf>
    <xf numFmtId="176" fontId="11" fillId="0" borderId="19" xfId="9" applyNumberFormat="1" applyFont="1" applyFill="1" applyBorder="1" applyAlignment="1">
      <alignment horizontal="right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49" fontId="11" fillId="0" borderId="23" xfId="9" applyNumberFormat="1" applyFont="1" applyFill="1" applyBorder="1" applyAlignment="1">
      <alignment horizontal="center" vertical="center" wrapText="1"/>
    </xf>
    <xf numFmtId="49" fontId="71" fillId="0" borderId="23" xfId="9" applyNumberFormat="1" applyFont="1" applyFill="1" applyBorder="1" applyAlignment="1">
      <alignment horizontal="center" vertical="center" wrapText="1"/>
    </xf>
    <xf numFmtId="0" fontId="19" fillId="0" borderId="1" xfId="9" applyFont="1" applyFill="1" applyBorder="1" applyAlignment="1">
      <alignment horizontal="left" vertical="center" wrapText="1"/>
    </xf>
    <xf numFmtId="49" fontId="19" fillId="0" borderId="23" xfId="9" applyNumberFormat="1" applyFont="1" applyFill="1" applyBorder="1" applyAlignment="1">
      <alignment horizontal="center" vertical="center" wrapText="1"/>
    </xf>
    <xf numFmtId="172" fontId="85" fillId="0" borderId="23" xfId="5" applyNumberFormat="1" applyFont="1" applyFill="1" applyBorder="1" applyAlignment="1">
      <alignment vertical="center" wrapText="1"/>
    </xf>
    <xf numFmtId="172" fontId="58" fillId="0" borderId="23" xfId="5" applyNumberFormat="1" applyFont="1" applyFill="1" applyBorder="1" applyAlignment="1">
      <alignment vertical="center" wrapText="1"/>
    </xf>
    <xf numFmtId="0" fontId="13" fillId="0" borderId="1" xfId="9" applyFont="1" applyFill="1" applyBorder="1"/>
    <xf numFmtId="0" fontId="84" fillId="0" borderId="1" xfId="9" applyFont="1" applyFill="1" applyBorder="1" applyAlignment="1">
      <alignment horizontal="left" vertical="center" wrapText="1"/>
    </xf>
    <xf numFmtId="0" fontId="17" fillId="0" borderId="1" xfId="9" applyFont="1" applyFill="1" applyBorder="1" applyAlignment="1">
      <alignment vertical="center" wrapText="1"/>
    </xf>
    <xf numFmtId="49" fontId="9" fillId="0" borderId="1" xfId="9" applyNumberFormat="1" applyFont="1" applyFill="1" applyBorder="1" applyAlignment="1">
      <alignment horizontal="center" vertical="center" wrapText="1"/>
    </xf>
    <xf numFmtId="0" fontId="12" fillId="0" borderId="18" xfId="9" applyFont="1" applyFill="1" applyBorder="1"/>
    <xf numFmtId="0" fontId="12" fillId="0" borderId="7" xfId="9" applyFont="1" applyFill="1" applyBorder="1"/>
    <xf numFmtId="176" fontId="11" fillId="0" borderId="9" xfId="34" applyNumberFormat="1" applyFont="1" applyFill="1" applyBorder="1" applyAlignment="1">
      <alignment horizontal="right" vertical="center" wrapText="1"/>
    </xf>
    <xf numFmtId="0" fontId="24" fillId="0" borderId="23" xfId="9" applyFont="1" applyFill="1" applyBorder="1" applyAlignment="1">
      <alignment horizontal="left" vertical="center" wrapText="1"/>
    </xf>
    <xf numFmtId="176" fontId="16" fillId="0" borderId="19" xfId="46" applyNumberFormat="1" applyFont="1" applyFill="1" applyBorder="1" applyAlignment="1" applyProtection="1">
      <alignment vertical="center" wrapText="1"/>
      <protection locked="0"/>
    </xf>
    <xf numFmtId="176" fontId="16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6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6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6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2" fillId="0" borderId="14" xfId="24" applyNumberFormat="1" applyFont="1" applyFill="1" applyBorder="1" applyAlignment="1">
      <alignment horizontal="right" vertical="center" wrapText="1"/>
    </xf>
    <xf numFmtId="176" fontId="12" fillId="0" borderId="19" xfId="24" applyNumberFormat="1" applyFont="1" applyFill="1" applyBorder="1" applyAlignment="1">
      <alignment horizontal="right" vertical="center" wrapText="1"/>
    </xf>
    <xf numFmtId="0" fontId="12" fillId="0" borderId="0" xfId="9" applyFont="1" applyFill="1" applyBorder="1" applyAlignment="1">
      <alignment wrapText="1"/>
    </xf>
    <xf numFmtId="172" fontId="12" fillId="0" borderId="23" xfId="5" applyNumberFormat="1" applyFont="1" applyFill="1" applyBorder="1" applyAlignment="1">
      <alignment vertical="center" wrapText="1"/>
    </xf>
    <xf numFmtId="176" fontId="97" fillId="0" borderId="19" xfId="46" applyNumberFormat="1" applyFont="1" applyFill="1" applyBorder="1" applyAlignment="1">
      <alignment vertical="center" wrapText="1"/>
    </xf>
    <xf numFmtId="176" fontId="97" fillId="0" borderId="7" xfId="34" applyNumberFormat="1" applyFont="1" applyFill="1" applyBorder="1" applyAlignment="1">
      <alignment horizontal="right" vertical="center" wrapText="1"/>
    </xf>
    <xf numFmtId="176" fontId="97" fillId="0" borderId="1" xfId="34" applyNumberFormat="1" applyFont="1" applyFill="1" applyBorder="1" applyAlignment="1">
      <alignment horizontal="right" vertical="center" wrapText="1"/>
    </xf>
    <xf numFmtId="176" fontId="97" fillId="0" borderId="14" xfId="34" applyNumberFormat="1" applyFont="1" applyFill="1" applyBorder="1" applyAlignment="1">
      <alignment horizontal="right" vertical="center" wrapText="1"/>
    </xf>
    <xf numFmtId="176" fontId="97" fillId="0" borderId="19" xfId="34" applyNumberFormat="1" applyFont="1" applyFill="1" applyBorder="1" applyAlignment="1">
      <alignment horizontal="right" vertical="center" wrapText="1"/>
    </xf>
    <xf numFmtId="176" fontId="12" fillId="0" borderId="7" xfId="34" applyNumberFormat="1" applyFont="1" applyFill="1" applyBorder="1" applyAlignment="1">
      <alignment horizontal="left" vertical="center" wrapText="1"/>
    </xf>
    <xf numFmtId="176" fontId="12" fillId="0" borderId="1" xfId="34" applyNumberFormat="1" applyFont="1" applyFill="1" applyBorder="1" applyAlignment="1">
      <alignment horizontal="left" vertical="center" wrapText="1"/>
    </xf>
    <xf numFmtId="176" fontId="12" fillId="0" borderId="19" xfId="46" applyNumberFormat="1" applyFont="1" applyFill="1" applyBorder="1" applyAlignment="1"/>
    <xf numFmtId="176" fontId="12" fillId="0" borderId="14" xfId="3" applyNumberFormat="1" applyFont="1" applyFill="1" applyBorder="1" applyAlignment="1">
      <alignment horizontal="right"/>
    </xf>
    <xf numFmtId="176" fontId="12" fillId="0" borderId="19" xfId="3" applyNumberFormat="1" applyFont="1" applyFill="1" applyBorder="1" applyAlignment="1">
      <alignment horizontal="right"/>
    </xf>
    <xf numFmtId="176" fontId="11" fillId="0" borderId="10" xfId="3" applyNumberFormat="1" applyFont="1" applyFill="1" applyBorder="1" applyAlignment="1">
      <alignment horizontal="right" vertical="center" wrapText="1"/>
    </xf>
    <xf numFmtId="176" fontId="11" fillId="0" borderId="71" xfId="3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1" fillId="0" borderId="0" xfId="34" applyNumberFormat="1" applyFont="1" applyFill="1" applyBorder="1" applyAlignment="1">
      <alignment horizontal="right" vertical="center" wrapText="1"/>
    </xf>
    <xf numFmtId="176" fontId="9" fillId="0" borderId="0" xfId="3" applyNumberFormat="1" applyFont="1" applyFill="1" applyBorder="1"/>
    <xf numFmtId="176" fontId="12" fillId="0" borderId="14" xfId="24" applyNumberFormat="1" applyFont="1" applyFill="1" applyBorder="1" applyAlignment="1">
      <alignment horizontal="right"/>
    </xf>
    <xf numFmtId="176" fontId="12" fillId="0" borderId="19" xfId="24" applyNumberFormat="1" applyFont="1" applyFill="1" applyBorder="1" applyAlignment="1">
      <alignment horizontal="right"/>
    </xf>
    <xf numFmtId="0" fontId="76" fillId="0" borderId="7" xfId="3" applyFont="1" applyFill="1" applyBorder="1" applyAlignment="1">
      <alignment horizontal="left" vertical="center" wrapText="1"/>
    </xf>
    <xf numFmtId="176" fontId="19" fillId="0" borderId="72" xfId="46" applyNumberFormat="1" applyFont="1" applyFill="1" applyBorder="1" applyAlignment="1"/>
    <xf numFmtId="176" fontId="19" fillId="0" borderId="0" xfId="3" applyNumberFormat="1" applyFont="1" applyFill="1" applyBorder="1"/>
    <xf numFmtId="176" fontId="19" fillId="0" borderId="0" xfId="3" applyNumberFormat="1" applyFont="1" applyFill="1" applyBorder="1" applyAlignment="1">
      <alignment horizontal="right"/>
    </xf>
    <xf numFmtId="176" fontId="19" fillId="0" borderId="72" xfId="3" applyNumberFormat="1" applyFont="1" applyFill="1" applyBorder="1" applyAlignment="1">
      <alignment horizontal="right"/>
    </xf>
    <xf numFmtId="176" fontId="9" fillId="0" borderId="72" xfId="46" applyNumberFormat="1" applyFont="1" applyFill="1" applyBorder="1" applyAlignment="1"/>
    <xf numFmtId="176" fontId="9" fillId="0" borderId="0" xfId="3" applyNumberFormat="1" applyFont="1" applyFill="1" applyBorder="1" applyAlignment="1">
      <alignment horizontal="right"/>
    </xf>
    <xf numFmtId="176" fontId="9" fillId="0" borderId="72" xfId="3" applyNumberFormat="1" applyFont="1" applyFill="1" applyBorder="1" applyAlignment="1">
      <alignment horizontal="right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2" fontId="12" fillId="0" borderId="16" xfId="5" applyNumberFormat="1" applyFont="1" applyFill="1" applyBorder="1" applyAlignment="1">
      <alignment vertical="center" wrapText="1"/>
    </xf>
    <xf numFmtId="176" fontId="13" fillId="0" borderId="7" xfId="3" applyNumberFormat="1" applyFont="1" applyFill="1" applyBorder="1" applyAlignment="1">
      <alignment horizontal="right" vertical="center" wrapText="1"/>
    </xf>
    <xf numFmtId="176" fontId="13" fillId="0" borderId="13" xfId="3" applyNumberFormat="1" applyFont="1" applyFill="1" applyBorder="1" applyAlignment="1">
      <alignment horizontal="right" vertical="center" wrapText="1"/>
    </xf>
    <xf numFmtId="176" fontId="13" fillId="0" borderId="19" xfId="3" applyNumberFormat="1" applyFont="1" applyFill="1" applyBorder="1" applyAlignment="1">
      <alignment horizontal="right" vertical="center" wrapText="1"/>
    </xf>
    <xf numFmtId="176" fontId="16" fillId="0" borderId="71" xfId="46" applyNumberFormat="1" applyFont="1" applyFill="1" applyBorder="1" applyAlignment="1">
      <alignment vertical="center" wrapText="1"/>
    </xf>
    <xf numFmtId="176" fontId="11" fillId="0" borderId="18" xfId="34" applyNumberFormat="1" applyFont="1" applyFill="1" applyBorder="1" applyAlignment="1">
      <alignment vertical="center" wrapText="1"/>
    </xf>
    <xf numFmtId="176" fontId="16" fillId="0" borderId="10" xfId="34" applyNumberFormat="1" applyFont="1" applyFill="1" applyBorder="1" applyAlignment="1">
      <alignment horizontal="right" vertical="center" wrapText="1"/>
    </xf>
    <xf numFmtId="176" fontId="16" fillId="0" borderId="71" xfId="34" applyNumberFormat="1" applyFont="1" applyFill="1" applyBorder="1" applyAlignment="1">
      <alignment horizontal="right" vertical="center" wrapText="1"/>
    </xf>
    <xf numFmtId="176" fontId="11" fillId="0" borderId="10" xfId="34" applyNumberFormat="1" applyFont="1" applyFill="1" applyBorder="1" applyAlignment="1">
      <alignment horizontal="right" vertical="center" wrapText="1"/>
    </xf>
    <xf numFmtId="176" fontId="13" fillId="0" borderId="71" xfId="46" applyNumberFormat="1" applyFont="1" applyFill="1" applyBorder="1" applyAlignment="1">
      <alignment vertical="center" wrapText="1"/>
    </xf>
    <xf numFmtId="176" fontId="13" fillId="0" borderId="18" xfId="3" applyNumberFormat="1" applyFont="1" applyFill="1" applyBorder="1" applyAlignment="1">
      <alignment horizontal="right" vertical="center" wrapText="1"/>
    </xf>
    <xf numFmtId="176" fontId="13" fillId="0" borderId="10" xfId="3" applyNumberFormat="1" applyFont="1" applyFill="1" applyBorder="1" applyAlignment="1">
      <alignment horizontal="right" vertical="center" wrapText="1"/>
    </xf>
    <xf numFmtId="176" fontId="13" fillId="0" borderId="71" xfId="3" applyNumberFormat="1" applyFont="1" applyFill="1" applyBorder="1" applyAlignment="1">
      <alignment horizontal="right" vertical="center" wrapText="1"/>
    </xf>
    <xf numFmtId="0" fontId="12" fillId="0" borderId="10" xfId="9" applyFont="1" applyFill="1" applyBorder="1"/>
    <xf numFmtId="176" fontId="13" fillId="0" borderId="19" xfId="46" applyNumberFormat="1" applyFont="1" applyFill="1" applyBorder="1" applyAlignment="1"/>
    <xf numFmtId="176" fontId="13" fillId="0" borderId="7" xfId="34" applyNumberFormat="1" applyFont="1" applyFill="1" applyBorder="1" applyAlignment="1">
      <alignment horizontal="right"/>
    </xf>
    <xf numFmtId="176" fontId="13" fillId="0" borderId="1" xfId="34" applyNumberFormat="1" applyFont="1" applyFill="1" applyBorder="1" applyAlignment="1">
      <alignment horizontal="right"/>
    </xf>
    <xf numFmtId="176" fontId="13" fillId="0" borderId="14" xfId="34" applyNumberFormat="1" applyFont="1" applyFill="1" applyBorder="1" applyAlignment="1">
      <alignment horizontal="right"/>
    </xf>
    <xf numFmtId="176" fontId="13" fillId="0" borderId="19" xfId="34" applyNumberFormat="1" applyFont="1" applyFill="1" applyBorder="1" applyAlignment="1">
      <alignment horizontal="right"/>
    </xf>
    <xf numFmtId="0" fontId="12" fillId="0" borderId="1" xfId="9" applyFont="1" applyFill="1" applyBorder="1" applyAlignment="1">
      <alignment vertical="justify" wrapText="1"/>
    </xf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176" fontId="16" fillId="0" borderId="30" xfId="34" applyNumberFormat="1" applyFont="1" applyFill="1" applyBorder="1" applyAlignment="1">
      <alignment horizontal="right" vertical="center" wrapText="1"/>
    </xf>
    <xf numFmtId="172" fontId="12" fillId="7" borderId="1" xfId="5" applyNumberFormat="1" applyFont="1" applyFill="1" applyBorder="1" applyAlignment="1">
      <alignment horizontal="left" vertical="center" wrapText="1"/>
    </xf>
    <xf numFmtId="176" fontId="13" fillId="0" borderId="71" xfId="46" applyNumberFormat="1" applyFont="1" applyFill="1" applyBorder="1" applyAlignment="1"/>
    <xf numFmtId="176" fontId="13" fillId="0" borderId="30" xfId="34" applyNumberFormat="1" applyFont="1" applyFill="1" applyBorder="1" applyAlignment="1">
      <alignment horizontal="right"/>
    </xf>
    <xf numFmtId="176" fontId="13" fillId="0" borderId="71" xfId="34" applyNumberFormat="1" applyFont="1" applyFill="1" applyBorder="1" applyAlignment="1">
      <alignment horizontal="right"/>
    </xf>
    <xf numFmtId="0" fontId="76" fillId="0" borderId="1" xfId="9" applyFont="1" applyFill="1" applyBorder="1" applyAlignment="1">
      <alignment vertical="center" wrapText="1"/>
    </xf>
    <xf numFmtId="176" fontId="11" fillId="0" borderId="66" xfId="46" applyNumberFormat="1" applyFont="1" applyFill="1" applyBorder="1" applyAlignment="1">
      <alignment vertical="center" wrapText="1"/>
    </xf>
    <xf numFmtId="176" fontId="11" fillId="0" borderId="59" xfId="34" applyNumberFormat="1" applyFont="1" applyFill="1" applyBorder="1" applyAlignment="1">
      <alignment horizontal="right" vertical="center" wrapText="1"/>
    </xf>
    <xf numFmtId="176" fontId="11" fillId="0" borderId="4" xfId="34" applyNumberFormat="1" applyFont="1" applyFill="1" applyBorder="1" applyAlignment="1">
      <alignment horizontal="right" vertical="center" wrapText="1"/>
    </xf>
    <xf numFmtId="176" fontId="11" fillId="0" borderId="74" xfId="34" applyNumberFormat="1" applyFont="1" applyFill="1" applyBorder="1" applyAlignment="1">
      <alignment horizontal="right" vertical="center" wrapText="1"/>
    </xf>
    <xf numFmtId="176" fontId="11" fillId="0" borderId="66" xfId="34" applyNumberFormat="1" applyFont="1" applyFill="1" applyBorder="1" applyAlignment="1">
      <alignment horizontal="right" vertical="center" wrapText="1"/>
    </xf>
    <xf numFmtId="176" fontId="13" fillId="0" borderId="20" xfId="46" applyNumberFormat="1" applyFont="1" applyFill="1" applyBorder="1" applyAlignment="1"/>
    <xf numFmtId="176" fontId="13" fillId="0" borderId="18" xfId="34" applyNumberFormat="1" applyFont="1" applyFill="1" applyBorder="1" applyAlignment="1">
      <alignment horizontal="right"/>
    </xf>
    <xf numFmtId="176" fontId="13" fillId="0" borderId="2" xfId="34" applyNumberFormat="1" applyFont="1" applyFill="1" applyBorder="1" applyAlignment="1">
      <alignment horizontal="right"/>
    </xf>
    <xf numFmtId="176" fontId="13" fillId="0" borderId="20" xfId="34" applyNumberFormat="1" applyFont="1" applyFill="1" applyBorder="1" applyAlignment="1">
      <alignment horizontal="right"/>
    </xf>
    <xf numFmtId="176" fontId="11" fillId="0" borderId="9" xfId="46" applyNumberFormat="1" applyFont="1" applyFill="1" applyBorder="1" applyAlignment="1">
      <alignment vertical="center" wrapText="1"/>
    </xf>
    <xf numFmtId="176" fontId="12" fillId="0" borderId="9" xfId="46" applyNumberFormat="1" applyFont="1" applyFill="1" applyBorder="1" applyAlignment="1"/>
    <xf numFmtId="176" fontId="12" fillId="0" borderId="9" xfId="34" applyNumberFormat="1" applyFont="1" applyFill="1" applyBorder="1" applyAlignment="1">
      <alignment horizontal="right"/>
    </xf>
    <xf numFmtId="176" fontId="11" fillId="0" borderId="3" xfId="46" applyNumberFormat="1" applyFont="1" applyFill="1" applyBorder="1" applyAlignment="1">
      <alignment vertical="center" wrapText="1"/>
    </xf>
    <xf numFmtId="176" fontId="11" fillId="0" borderId="3" xfId="34" applyNumberFormat="1" applyFont="1" applyFill="1" applyBorder="1" applyAlignment="1">
      <alignment horizontal="right" vertical="center" wrapText="1"/>
    </xf>
    <xf numFmtId="166" fontId="16" fillId="0" borderId="9" xfId="34" applyNumberFormat="1" applyFont="1" applyFill="1" applyBorder="1" applyAlignment="1">
      <alignment horizontal="right" vertical="center" wrapText="1"/>
    </xf>
    <xf numFmtId="168" fontId="32" fillId="0" borderId="0" xfId="9" applyNumberFormat="1" applyFont="1" applyFill="1" applyAlignment="1">
      <alignment vertical="center"/>
    </xf>
    <xf numFmtId="168" fontId="19" fillId="0" borderId="0" xfId="3" applyNumberFormat="1" applyFont="1" applyFill="1"/>
    <xf numFmtId="168" fontId="22" fillId="0" borderId="0" xfId="3" applyNumberFormat="1" applyFont="1" applyFill="1"/>
    <xf numFmtId="168" fontId="9" fillId="0" borderId="0" xfId="3" applyNumberFormat="1" applyFont="1" applyFill="1" applyAlignment="1">
      <alignment horizontal="left" vertical="center"/>
    </xf>
    <xf numFmtId="0" fontId="32" fillId="0" borderId="0" xfId="0" applyFont="1" applyFill="1" applyAlignment="1">
      <alignment horizontal="right" vertical="center"/>
    </xf>
    <xf numFmtId="168" fontId="32" fillId="0" borderId="0" xfId="9" applyNumberFormat="1" applyFont="1" applyFill="1" applyAlignment="1">
      <alignment horizontal="right" vertical="center"/>
    </xf>
    <xf numFmtId="0" fontId="36" fillId="0" borderId="0" xfId="7" applyFont="1" applyAlignment="1">
      <alignment horizontal="right"/>
    </xf>
    <xf numFmtId="172" fontId="12" fillId="0" borderId="7" xfId="5" applyNumberFormat="1" applyFont="1" applyFill="1" applyBorder="1" applyAlignment="1">
      <alignment horizontal="left" vertical="center" wrapText="1"/>
    </xf>
    <xf numFmtId="49" fontId="12" fillId="0" borderId="14" xfId="3" applyNumberFormat="1" applyFont="1" applyFill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wrapText="1"/>
    </xf>
    <xf numFmtId="0" fontId="16" fillId="0" borderId="1" xfId="9" applyFont="1" applyFill="1" applyBorder="1" applyAlignment="1">
      <alignment horizontal="left" vertical="center" wrapText="1"/>
    </xf>
    <xf numFmtId="172" fontId="12" fillId="0" borderId="16" xfId="5" applyNumberFormat="1" applyFont="1" applyFill="1" applyBorder="1" applyAlignment="1">
      <alignment horizontal="left" vertical="center" wrapText="1"/>
    </xf>
    <xf numFmtId="166" fontId="12" fillId="0" borderId="1" xfId="5" applyNumberFormat="1" applyFont="1" applyFill="1" applyBorder="1" applyAlignment="1">
      <alignment horizontal="left" vertical="center" wrapText="1"/>
    </xf>
    <xf numFmtId="49" fontId="51" fillId="0" borderId="75" xfId="5" applyNumberFormat="1" applyFont="1" applyFill="1" applyBorder="1" applyAlignment="1">
      <alignment horizontal="center" vertical="center" wrapText="1"/>
    </xf>
    <xf numFmtId="0" fontId="40" fillId="0" borderId="24" xfId="5" applyFont="1" applyFill="1" applyBorder="1" applyAlignment="1">
      <alignment horizontal="center" vertical="center"/>
    </xf>
    <xf numFmtId="168" fontId="9" fillId="0" borderId="46" xfId="3" applyNumberFormat="1" applyFont="1" applyFill="1" applyBorder="1"/>
    <xf numFmtId="176" fontId="76" fillId="0" borderId="19" xfId="46" applyNumberFormat="1" applyFont="1" applyFill="1" applyBorder="1" applyAlignment="1">
      <alignment horizontal="right" vertical="center" wrapText="1"/>
    </xf>
    <xf numFmtId="49" fontId="42" fillId="0" borderId="30" xfId="5" applyNumberFormat="1" applyFont="1" applyFill="1" applyBorder="1" applyAlignment="1">
      <alignment horizontal="center" vertical="center" wrapText="1"/>
    </xf>
    <xf numFmtId="49" fontId="40" fillId="0" borderId="14" xfId="5" applyNumberFormat="1" applyFont="1" applyFill="1" applyBorder="1" applyAlignment="1">
      <alignment horizontal="center" vertical="center" wrapText="1"/>
    </xf>
    <xf numFmtId="49" fontId="40" fillId="0" borderId="65" xfId="5" applyNumberFormat="1" applyFont="1" applyFill="1" applyBorder="1" applyAlignment="1">
      <alignment horizontal="center" vertical="center" wrapText="1"/>
    </xf>
    <xf numFmtId="49" fontId="40" fillId="0" borderId="58" xfId="5" applyNumberFormat="1" applyFont="1" applyFill="1" applyBorder="1" applyAlignment="1">
      <alignment horizontal="center" vertical="center" wrapText="1"/>
    </xf>
    <xf numFmtId="49" fontId="40" fillId="0" borderId="73" xfId="5" applyNumberFormat="1" applyFont="1" applyFill="1" applyBorder="1" applyAlignment="1">
      <alignment horizontal="center" vertical="center" wrapText="1"/>
    </xf>
    <xf numFmtId="49" fontId="42" fillId="0" borderId="14" xfId="5" applyNumberFormat="1" applyFont="1" applyFill="1" applyBorder="1" applyAlignment="1">
      <alignment horizontal="center" vertical="center" wrapText="1"/>
    </xf>
    <xf numFmtId="168" fontId="40" fillId="0" borderId="15" xfId="5" applyNumberFormat="1" applyFont="1" applyFill="1" applyBorder="1" applyAlignment="1">
      <alignment horizontal="right" vertical="center" wrapText="1"/>
    </xf>
    <xf numFmtId="168" fontId="40" fillId="0" borderId="12" xfId="5" applyNumberFormat="1" applyFont="1" applyFill="1" applyBorder="1" applyAlignment="1">
      <alignment horizontal="right" vertical="center" wrapText="1"/>
    </xf>
    <xf numFmtId="168" fontId="79" fillId="0" borderId="71" xfId="5" applyNumberFormat="1" applyFont="1" applyFill="1" applyBorder="1" applyAlignment="1">
      <alignment horizontal="right" vertical="center" wrapText="1"/>
    </xf>
    <xf numFmtId="168" fontId="58" fillId="0" borderId="19" xfId="5" applyNumberFormat="1" applyFont="1" applyFill="1" applyBorder="1" applyAlignment="1">
      <alignment horizontal="right" vertical="center" wrapText="1"/>
    </xf>
    <xf numFmtId="168" fontId="58" fillId="0" borderId="70" xfId="5" applyNumberFormat="1" applyFont="1" applyFill="1" applyBorder="1" applyAlignment="1">
      <alignment horizontal="right" vertical="center" wrapText="1"/>
    </xf>
    <xf numFmtId="168" fontId="58" fillId="0" borderId="72" xfId="5" applyNumberFormat="1" applyFont="1" applyFill="1" applyBorder="1" applyAlignment="1">
      <alignment horizontal="right" vertical="center" wrapText="1"/>
    </xf>
    <xf numFmtId="168" fontId="79" fillId="0" borderId="67" xfId="5" applyNumberFormat="1" applyFont="1" applyFill="1" applyBorder="1" applyAlignment="1">
      <alignment horizontal="right" vertical="center" wrapText="1"/>
    </xf>
    <xf numFmtId="168" fontId="79" fillId="0" borderId="19" xfId="5" applyNumberFormat="1" applyFont="1" applyFill="1" applyBorder="1" applyAlignment="1">
      <alignment horizontal="right" vertical="center" wrapText="1"/>
    </xf>
    <xf numFmtId="0" fontId="12" fillId="0" borderId="1" xfId="9" applyFont="1" applyBorder="1" applyAlignment="1">
      <alignment horizontal="center" vertical="center" wrapText="1"/>
    </xf>
    <xf numFmtId="166" fontId="12" fillId="0" borderId="1" xfId="3" applyNumberFormat="1" applyFont="1" applyBorder="1" applyAlignment="1">
      <alignment horizontal="center" vertical="center"/>
    </xf>
    <xf numFmtId="0" fontId="31" fillId="0" borderId="0" xfId="27" applyFont="1" applyFill="1" applyAlignment="1"/>
    <xf numFmtId="0" fontId="12" fillId="0" borderId="0" xfId="9" applyFont="1" applyAlignment="1">
      <alignment horizontal="left"/>
    </xf>
    <xf numFmtId="0" fontId="32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20" fillId="0" borderId="1" xfId="9" applyFont="1" applyBorder="1" applyAlignment="1">
      <alignment horizontal="left" vertical="center" wrapText="1"/>
    </xf>
    <xf numFmtId="168" fontId="20" fillId="0" borderId="1" xfId="9" applyNumberFormat="1" applyFont="1" applyBorder="1" applyAlignment="1">
      <alignment horizontal="center" vertical="center" wrapText="1"/>
    </xf>
    <xf numFmtId="164" fontId="20" fillId="0" borderId="0" xfId="9" applyNumberFormat="1" applyFont="1"/>
    <xf numFmtId="0" fontId="20" fillId="0" borderId="0" xfId="9" applyFont="1"/>
    <xf numFmtId="0" fontId="13" fillId="0" borderId="1" xfId="9" applyFont="1" applyBorder="1" applyAlignment="1">
      <alignment horizontal="left" vertical="center" wrapText="1"/>
    </xf>
    <xf numFmtId="168" fontId="13" fillId="0" borderId="1" xfId="9" applyNumberFormat="1" applyFont="1" applyBorder="1" applyAlignment="1">
      <alignment horizontal="center" vertical="center" wrapText="1"/>
    </xf>
    <xf numFmtId="164" fontId="13" fillId="0" borderId="0" xfId="9" applyNumberFormat="1" applyFont="1"/>
    <xf numFmtId="0" fontId="13" fillId="0" borderId="0" xfId="9" applyFont="1"/>
    <xf numFmtId="0" fontId="12" fillId="0" borderId="0" xfId="9" applyFont="1" applyBorder="1"/>
    <xf numFmtId="0" fontId="32" fillId="0" borderId="0" xfId="9" applyFont="1" applyAlignment="1">
      <alignment horizontal="left"/>
    </xf>
    <xf numFmtId="0" fontId="36" fillId="0" borderId="0" xfId="7" applyFont="1" applyAlignment="1"/>
    <xf numFmtId="0" fontId="25" fillId="0" borderId="0" xfId="9" applyFont="1" applyAlignment="1">
      <alignment vertical="center" wrapText="1"/>
    </xf>
    <xf numFmtId="0" fontId="25" fillId="0" borderId="0" xfId="32" applyFont="1" applyAlignment="1"/>
    <xf numFmtId="168" fontId="13" fillId="0" borderId="2" xfId="9" applyNumberFormat="1" applyFont="1" applyBorder="1" applyAlignment="1">
      <alignment horizontal="center" vertical="center" wrapText="1"/>
    </xf>
    <xf numFmtId="0" fontId="13" fillId="0" borderId="23" xfId="27" applyFont="1" applyBorder="1" applyAlignment="1">
      <alignment horizontal="center" vertical="center" wrapText="1"/>
    </xf>
    <xf numFmtId="0" fontId="12" fillId="0" borderId="2" xfId="9" applyFont="1" applyBorder="1" applyAlignment="1">
      <alignment horizontal="left" vertical="center" wrapText="1"/>
    </xf>
    <xf numFmtId="168" fontId="12" fillId="0" borderId="2" xfId="9" applyNumberFormat="1" applyFont="1" applyBorder="1" applyAlignment="1">
      <alignment horizontal="center" vertical="center" wrapText="1"/>
    </xf>
    <xf numFmtId="0" fontId="13" fillId="0" borderId="4" xfId="9" applyFont="1" applyBorder="1" applyAlignment="1">
      <alignment horizontal="left" vertical="center" wrapText="1"/>
    </xf>
    <xf numFmtId="168" fontId="13" fillId="0" borderId="4" xfId="9" applyNumberFormat="1" applyFont="1" applyBorder="1" applyAlignment="1">
      <alignment horizontal="center" vertical="center" wrapText="1"/>
    </xf>
    <xf numFmtId="0" fontId="12" fillId="0" borderId="80" xfId="9" applyFont="1" applyBorder="1" applyAlignment="1">
      <alignment horizontal="left" vertical="center" wrapText="1"/>
    </xf>
    <xf numFmtId="168" fontId="12" fillId="0" borderId="80" xfId="9" applyNumberFormat="1" applyFont="1" applyBorder="1" applyAlignment="1">
      <alignment horizontal="center" vertical="center" wrapText="1"/>
    </xf>
    <xf numFmtId="168" fontId="12" fillId="0" borderId="30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3" fillId="0" borderId="14" xfId="9" applyNumberFormat="1" applyFont="1" applyBorder="1" applyAlignment="1">
      <alignment horizontal="center" vertical="center" wrapText="1"/>
    </xf>
    <xf numFmtId="168" fontId="13" fillId="0" borderId="74" xfId="9" applyNumberFormat="1" applyFont="1" applyBorder="1" applyAlignment="1">
      <alignment horizontal="center" vertical="center" wrapText="1"/>
    </xf>
    <xf numFmtId="168" fontId="12" fillId="0" borderId="81" xfId="9" applyNumberFormat="1" applyFont="1" applyBorder="1" applyAlignment="1">
      <alignment horizontal="center" vertical="center" wrapText="1"/>
    </xf>
    <xf numFmtId="0" fontId="12" fillId="0" borderId="72" xfId="9" applyFont="1" applyBorder="1" applyAlignment="1"/>
    <xf numFmtId="0" fontId="70" fillId="0" borderId="48" xfId="9" applyFont="1" applyBorder="1" applyAlignment="1">
      <alignment vertical="center" wrapText="1"/>
    </xf>
    <xf numFmtId="0" fontId="70" fillId="0" borderId="0" xfId="9" applyFont="1" applyBorder="1" applyAlignment="1">
      <alignment vertical="center" wrapText="1"/>
    </xf>
    <xf numFmtId="0" fontId="70" fillId="0" borderId="11" xfId="9" applyFont="1" applyBorder="1" applyAlignment="1">
      <alignment vertical="center" wrapText="1"/>
    </xf>
    <xf numFmtId="0" fontId="12" fillId="0" borderId="0" xfId="9" applyFont="1" applyAlignment="1">
      <alignment horizontal="right"/>
    </xf>
    <xf numFmtId="0" fontId="103" fillId="0" borderId="24" xfId="42" applyFont="1" applyFill="1" applyBorder="1" applyAlignment="1">
      <alignment horizontal="center" vertical="center" wrapText="1"/>
    </xf>
    <xf numFmtId="0" fontId="103" fillId="0" borderId="23" xfId="42" applyFont="1" applyFill="1" applyBorder="1" applyAlignment="1">
      <alignment horizontal="left" vertical="center" wrapText="1"/>
    </xf>
    <xf numFmtId="168" fontId="103" fillId="7" borderId="23" xfId="43" applyNumberFormat="1" applyFont="1" applyFill="1" applyBorder="1" applyAlignment="1">
      <alignment horizontal="right" vertical="center" wrapText="1"/>
    </xf>
    <xf numFmtId="168" fontId="103" fillId="7" borderId="34" xfId="43" applyNumberFormat="1" applyFont="1" applyFill="1" applyBorder="1" applyAlignment="1">
      <alignment horizontal="right" vertical="center" wrapText="1"/>
    </xf>
    <xf numFmtId="168" fontId="53" fillId="0" borderId="0" xfId="34" applyNumberFormat="1" applyFont="1" applyFill="1" applyAlignment="1"/>
    <xf numFmtId="0" fontId="32" fillId="0" borderId="0" xfId="9" applyFont="1" applyFill="1" applyAlignment="1">
      <alignment horizontal="center" vertical="center"/>
    </xf>
    <xf numFmtId="182" fontId="8" fillId="0" borderId="0" xfId="7" applyNumberFormat="1" applyFill="1"/>
    <xf numFmtId="165" fontId="9" fillId="0" borderId="0" xfId="1" applyFont="1" applyFill="1" applyBorder="1"/>
    <xf numFmtId="165" fontId="9" fillId="0" borderId="0" xfId="1" applyFont="1" applyFill="1"/>
    <xf numFmtId="171" fontId="9" fillId="0" borderId="0" xfId="3" applyNumberFormat="1" applyFont="1" applyFill="1"/>
    <xf numFmtId="0" fontId="14" fillId="0" borderId="8" xfId="3" applyFont="1" applyFill="1" applyBorder="1"/>
    <xf numFmtId="0" fontId="13" fillId="0" borderId="60" xfId="44" applyFont="1" applyFill="1" applyBorder="1" applyAlignment="1">
      <alignment horizontal="left" vertical="center" wrapText="1"/>
    </xf>
    <xf numFmtId="0" fontId="14" fillId="0" borderId="29" xfId="3" applyFont="1" applyFill="1" applyBorder="1"/>
    <xf numFmtId="166" fontId="50" fillId="0" borderId="26" xfId="5" applyNumberFormat="1" applyFont="1" applyFill="1" applyBorder="1" applyAlignment="1">
      <alignment horizontal="left" vertical="center" wrapText="1"/>
    </xf>
    <xf numFmtId="0" fontId="14" fillId="0" borderId="5" xfId="3" applyFont="1" applyFill="1" applyBorder="1"/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71" fontId="8" fillId="0" borderId="0" xfId="7" applyNumberFormat="1" applyFill="1"/>
    <xf numFmtId="0" fontId="51" fillId="0" borderId="0" xfId="0" applyFont="1" applyFill="1" applyAlignment="1">
      <alignment horizontal="left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56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left" vertical="center" wrapText="1"/>
    </xf>
    <xf numFmtId="0" fontId="108" fillId="0" borderId="7" xfId="9" applyFont="1" applyFill="1" applyBorder="1"/>
    <xf numFmtId="0" fontId="12" fillId="0" borderId="0" xfId="0" applyFont="1" applyFill="1" applyAlignment="1">
      <alignment horizontal="left" vertical="center" wrapText="1"/>
    </xf>
    <xf numFmtId="0" fontId="13" fillId="0" borderId="28" xfId="44" applyFont="1" applyFill="1" applyBorder="1" applyAlignment="1">
      <alignment horizontal="left" vertical="center" wrapText="1"/>
    </xf>
    <xf numFmtId="0" fontId="13" fillId="0" borderId="7" xfId="44" applyFont="1" applyFill="1" applyBorder="1" applyAlignment="1">
      <alignment horizontal="left" vertical="center" wrapText="1"/>
    </xf>
    <xf numFmtId="0" fontId="20" fillId="0" borderId="7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12" fillId="0" borderId="59" xfId="0" applyFont="1" applyFill="1" applyBorder="1" applyAlignment="1">
      <alignment horizontal="left" vertical="center" wrapText="1"/>
    </xf>
    <xf numFmtId="0" fontId="51" fillId="0" borderId="16" xfId="3" applyFont="1" applyFill="1" applyBorder="1" applyAlignment="1">
      <alignment horizontal="left" vertical="center" wrapText="1"/>
    </xf>
    <xf numFmtId="167" fontId="11" fillId="0" borderId="12" xfId="34" applyNumberFormat="1" applyFont="1" applyFill="1" applyBorder="1" applyAlignment="1">
      <alignment horizontal="right" vertical="center" wrapText="1"/>
    </xf>
    <xf numFmtId="0" fontId="32" fillId="0" borderId="0" xfId="9" applyFont="1" applyFill="1" applyAlignment="1">
      <alignment horizontal="right" vertical="center"/>
    </xf>
    <xf numFmtId="0" fontId="9" fillId="0" borderId="0" xfId="3" applyFont="1" applyFill="1" applyAlignment="1">
      <alignment horizontal="right"/>
    </xf>
    <xf numFmtId="168" fontId="9" fillId="0" borderId="0" xfId="24" applyNumberFormat="1" applyFont="1" applyFill="1" applyAlignment="1">
      <alignment horizontal="right"/>
    </xf>
    <xf numFmtId="0" fontId="12" fillId="0" borderId="1" xfId="9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left" vertical="center" wrapText="1"/>
    </xf>
    <xf numFmtId="0" fontId="8" fillId="0" borderId="0" xfId="41" applyFill="1"/>
    <xf numFmtId="0" fontId="54" fillId="0" borderId="0" xfId="32" applyFont="1" applyFill="1" applyAlignment="1"/>
    <xf numFmtId="0" fontId="104" fillId="0" borderId="0" xfId="41" applyFont="1" applyFill="1"/>
    <xf numFmtId="174" fontId="8" fillId="0" borderId="0" xfId="41" applyNumberFormat="1" applyFill="1"/>
    <xf numFmtId="0" fontId="12" fillId="0" borderId="0" xfId="9" applyFont="1" applyFill="1" applyAlignment="1">
      <alignment horizontal="left"/>
    </xf>
    <xf numFmtId="0" fontId="25" fillId="0" borderId="0" xfId="32" applyFont="1" applyFill="1" applyAlignment="1"/>
    <xf numFmtId="0" fontId="25" fillId="0" borderId="0" xfId="9" applyFont="1" applyFill="1" applyAlignment="1">
      <alignment vertical="center" wrapText="1"/>
    </xf>
    <xf numFmtId="168" fontId="25" fillId="0" borderId="0" xfId="9" applyNumberFormat="1" applyFont="1" applyFill="1" applyAlignment="1">
      <alignment vertical="center" wrapText="1"/>
    </xf>
    <xf numFmtId="168" fontId="32" fillId="0" borderId="0" xfId="9" applyNumberFormat="1" applyFont="1" applyFill="1"/>
    <xf numFmtId="0" fontId="32" fillId="0" borderId="0" xfId="9" applyFont="1" applyFill="1"/>
    <xf numFmtId="0" fontId="12" fillId="0" borderId="0" xfId="9" applyFont="1" applyFill="1" applyAlignment="1">
      <alignment horizontal="right"/>
    </xf>
    <xf numFmtId="0" fontId="13" fillId="0" borderId="23" xfId="27" applyFont="1" applyFill="1" applyBorder="1" applyAlignment="1">
      <alignment horizontal="center" vertical="center" wrapText="1"/>
    </xf>
    <xf numFmtId="49" fontId="13" fillId="0" borderId="45" xfId="9" applyNumberFormat="1" applyFont="1" applyFill="1" applyBorder="1" applyAlignment="1">
      <alignment horizontal="left" vertical="center" wrapText="1"/>
    </xf>
    <xf numFmtId="49" fontId="13" fillId="0" borderId="67" xfId="9" applyNumberFormat="1" applyFont="1" applyFill="1" applyBorder="1" applyAlignment="1">
      <alignment horizontal="left" vertical="center" wrapText="1"/>
    </xf>
    <xf numFmtId="168" fontId="13" fillId="0" borderId="45" xfId="9" applyNumberFormat="1" applyFont="1" applyFill="1" applyBorder="1" applyAlignment="1">
      <alignment horizontal="center" vertical="center" wrapText="1"/>
    </xf>
    <xf numFmtId="168" fontId="13" fillId="0" borderId="67" xfId="9" applyNumberFormat="1" applyFont="1" applyFill="1" applyBorder="1" applyAlignment="1">
      <alignment horizontal="center" vertical="center" wrapText="1"/>
    </xf>
    <xf numFmtId="168" fontId="13" fillId="0" borderId="47" xfId="9" applyNumberFormat="1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left" vertical="center" wrapText="1"/>
    </xf>
    <xf numFmtId="168" fontId="12" fillId="0" borderId="1" xfId="9" applyNumberFormat="1" applyFont="1" applyFill="1" applyBorder="1" applyAlignment="1">
      <alignment horizontal="center" vertical="center" wrapText="1"/>
    </xf>
    <xf numFmtId="168" fontId="12" fillId="0" borderId="14" xfId="9" applyNumberFormat="1" applyFont="1" applyFill="1" applyBorder="1" applyAlignment="1">
      <alignment horizontal="center" vertical="center" wrapText="1"/>
    </xf>
    <xf numFmtId="0" fontId="13" fillId="0" borderId="4" xfId="9" applyFont="1" applyFill="1" applyBorder="1" applyAlignment="1">
      <alignment horizontal="left" vertical="center" wrapText="1"/>
    </xf>
    <xf numFmtId="168" fontId="13" fillId="0" borderId="4" xfId="9" applyNumberFormat="1" applyFont="1" applyFill="1" applyBorder="1" applyAlignment="1">
      <alignment horizontal="center" vertical="center" wrapText="1"/>
    </xf>
    <xf numFmtId="168" fontId="13" fillId="0" borderId="74" xfId="9" applyNumberFormat="1" applyFont="1" applyFill="1" applyBorder="1" applyAlignment="1">
      <alignment horizontal="center" vertical="center" wrapText="1"/>
    </xf>
    <xf numFmtId="164" fontId="12" fillId="0" borderId="0" xfId="9" applyNumberFormat="1" applyFont="1" applyFill="1"/>
    <xf numFmtId="164" fontId="20" fillId="0" borderId="0" xfId="9" applyNumberFormat="1" applyFont="1" applyFill="1"/>
    <xf numFmtId="0" fontId="20" fillId="0" borderId="0" xfId="9" applyFont="1" applyFill="1"/>
    <xf numFmtId="0" fontId="70" fillId="0" borderId="48" xfId="9" applyFont="1" applyFill="1" applyBorder="1" applyAlignment="1">
      <alignment vertical="center" wrapText="1"/>
    </xf>
    <xf numFmtId="0" fontId="70" fillId="0" borderId="0" xfId="9" applyFont="1" applyFill="1" applyBorder="1" applyAlignment="1">
      <alignment vertical="center" wrapText="1"/>
    </xf>
    <xf numFmtId="0" fontId="70" fillId="0" borderId="11" xfId="9" applyFont="1" applyFill="1" applyBorder="1" applyAlignment="1">
      <alignment vertical="center" wrapText="1"/>
    </xf>
    <xf numFmtId="0" fontId="12" fillId="0" borderId="72" xfId="9" applyFont="1" applyFill="1" applyBorder="1" applyAlignment="1"/>
    <xf numFmtId="0" fontId="12" fillId="0" borderId="80" xfId="9" applyFont="1" applyFill="1" applyBorder="1" applyAlignment="1">
      <alignment horizontal="left" vertical="center" wrapText="1"/>
    </xf>
    <xf numFmtId="168" fontId="12" fillId="0" borderId="80" xfId="9" applyNumberFormat="1" applyFont="1" applyFill="1" applyBorder="1" applyAlignment="1">
      <alignment horizontal="center" vertical="center" wrapText="1"/>
    </xf>
    <xf numFmtId="0" fontId="12" fillId="0" borderId="2" xfId="9" applyFont="1" applyFill="1" applyBorder="1" applyAlignment="1">
      <alignment horizontal="left" vertical="center" wrapText="1"/>
    </xf>
    <xf numFmtId="164" fontId="13" fillId="0" borderId="0" xfId="9" applyNumberFormat="1" applyFont="1" applyFill="1"/>
    <xf numFmtId="0" fontId="13" fillId="0" borderId="0" xfId="9" applyFont="1" applyFill="1"/>
    <xf numFmtId="0" fontId="32" fillId="0" borderId="0" xfId="9" applyFont="1" applyFill="1" applyAlignment="1">
      <alignment horizontal="left"/>
    </xf>
    <xf numFmtId="0" fontId="32" fillId="0" borderId="0" xfId="9" applyFont="1" applyFill="1" applyAlignment="1">
      <alignment horizontal="right" vertical="center"/>
    </xf>
    <xf numFmtId="176" fontId="12" fillId="0" borderId="0" xfId="46" applyNumberFormat="1" applyFont="1" applyFill="1" applyAlignment="1"/>
    <xf numFmtId="0" fontId="12" fillId="0" borderId="0" xfId="41" applyFont="1" applyFill="1"/>
    <xf numFmtId="49" fontId="12" fillId="0" borderId="0" xfId="5" applyNumberFormat="1" applyFont="1" applyFill="1" applyAlignment="1">
      <alignment horizontal="left" vertical="center"/>
    </xf>
    <xf numFmtId="0" fontId="32" fillId="0" borderId="0" xfId="7" applyFont="1" applyFill="1" applyAlignment="1">
      <alignment horizontal="right"/>
    </xf>
    <xf numFmtId="49" fontId="51" fillId="0" borderId="0" xfId="5" applyNumberFormat="1" applyFont="1" applyFill="1" applyAlignment="1">
      <alignment vertical="center"/>
    </xf>
    <xf numFmtId="0" fontId="12" fillId="0" borderId="0" xfId="41" applyFont="1" applyFill="1" applyAlignment="1">
      <alignment horizontal="left"/>
    </xf>
    <xf numFmtId="0" fontId="51" fillId="0" borderId="0" xfId="5" applyFont="1" applyFill="1"/>
    <xf numFmtId="49" fontId="12" fillId="0" borderId="0" xfId="5" applyNumberFormat="1" applyFont="1" applyFill="1" applyBorder="1" applyAlignment="1">
      <alignment horizontal="left" indent="20"/>
    </xf>
    <xf numFmtId="0" fontId="51" fillId="0" borderId="0" xfId="5" applyFont="1" applyFill="1" applyAlignment="1">
      <alignment horizontal="center" vertical="center"/>
    </xf>
    <xf numFmtId="166" fontId="51" fillId="0" borderId="0" xfId="5" applyNumberFormat="1" applyFont="1" applyFill="1"/>
    <xf numFmtId="0" fontId="78" fillId="0" borderId="0" xfId="5" applyFont="1" applyFill="1" applyBorder="1"/>
    <xf numFmtId="0" fontId="51" fillId="0" borderId="0" xfId="52" applyFont="1" applyFill="1" applyAlignment="1">
      <alignment horizontal="left" vertical="top"/>
    </xf>
    <xf numFmtId="168" fontId="51" fillId="0" borderId="0" xfId="5" applyNumberFormat="1" applyFont="1" applyFill="1" applyBorder="1" applyAlignment="1">
      <alignment horizontal="right"/>
    </xf>
    <xf numFmtId="168" fontId="12" fillId="0" borderId="0" xfId="5" applyNumberFormat="1" applyFont="1" applyFill="1" applyBorder="1" applyAlignment="1">
      <alignment horizontal="right"/>
    </xf>
    <xf numFmtId="0" fontId="54" fillId="0" borderId="29" xfId="52" applyFont="1" applyFill="1" applyBorder="1" applyAlignment="1">
      <alignment horizontal="center" vertical="center" wrapText="1"/>
    </xf>
    <xf numFmtId="0" fontId="54" fillId="0" borderId="26" xfId="52" applyFont="1" applyFill="1" applyBorder="1" applyAlignment="1">
      <alignment horizontal="center" vertical="center" wrapText="1"/>
    </xf>
    <xf numFmtId="0" fontId="54" fillId="0" borderId="25" xfId="52" applyFont="1" applyFill="1" applyBorder="1" applyAlignment="1">
      <alignment horizontal="center" vertical="center" wrapText="1"/>
    </xf>
    <xf numFmtId="0" fontId="75" fillId="0" borderId="8" xfId="52" applyFont="1" applyFill="1" applyBorder="1" applyAlignment="1">
      <alignment horizontal="center" vertical="center" wrapText="1"/>
    </xf>
    <xf numFmtId="0" fontId="75" fillId="0" borderId="1" xfId="52" applyFont="1" applyFill="1" applyBorder="1" applyAlignment="1">
      <alignment horizontal="left" vertical="center" wrapText="1"/>
    </xf>
    <xf numFmtId="49" fontId="75" fillId="0" borderId="1" xfId="52" applyNumberFormat="1" applyFont="1" applyFill="1" applyBorder="1" applyAlignment="1">
      <alignment horizontal="center" vertical="center" wrapText="1"/>
    </xf>
    <xf numFmtId="168" fontId="75" fillId="0" borderId="1" xfId="53" applyNumberFormat="1" applyFont="1" applyFill="1" applyBorder="1" applyAlignment="1">
      <alignment horizontal="right" vertical="center" wrapText="1"/>
    </xf>
    <xf numFmtId="168" fontId="75" fillId="0" borderId="9" xfId="53" applyNumberFormat="1" applyFont="1" applyFill="1" applyBorder="1" applyAlignment="1">
      <alignment horizontal="right" vertical="center" wrapText="1"/>
    </xf>
    <xf numFmtId="0" fontId="109" fillId="0" borderId="0" xfId="41" applyFont="1" applyFill="1"/>
    <xf numFmtId="0" fontId="109" fillId="0" borderId="8" xfId="52" applyFont="1" applyFill="1" applyBorder="1" applyAlignment="1">
      <alignment horizontal="center" vertical="center" wrapText="1"/>
    </xf>
    <xf numFmtId="0" fontId="109" fillId="0" borderId="1" xfId="52" applyFont="1" applyFill="1" applyBorder="1" applyAlignment="1">
      <alignment horizontal="lef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168" fontId="109" fillId="0" borderId="1" xfId="53" applyNumberFormat="1" applyFont="1" applyFill="1" applyBorder="1" applyAlignment="1">
      <alignment horizontal="right" vertical="center" wrapText="1"/>
    </xf>
    <xf numFmtId="168" fontId="109" fillId="0" borderId="9" xfId="53" applyNumberFormat="1" applyFont="1" applyFill="1" applyBorder="1" applyAlignment="1">
      <alignment horizontal="right" vertical="center" wrapText="1"/>
    </xf>
    <xf numFmtId="49" fontId="110" fillId="0" borderId="1" xfId="52" applyNumberFormat="1" applyFont="1" applyFill="1" applyBorder="1" applyAlignment="1">
      <alignment horizontal="center" vertical="center" wrapText="1"/>
    </xf>
    <xf numFmtId="0" fontId="109" fillId="0" borderId="24" xfId="52" applyFont="1" applyFill="1" applyBorder="1" applyAlignment="1">
      <alignment horizontal="center" vertical="center" wrapText="1"/>
    </xf>
    <xf numFmtId="0" fontId="109" fillId="0" borderId="23" xfId="52" applyFont="1" applyFill="1" applyBorder="1" applyAlignment="1">
      <alignment horizontal="left" vertical="center" wrapText="1"/>
    </xf>
    <xf numFmtId="168" fontId="109" fillId="0" borderId="23" xfId="53" applyNumberFormat="1" applyFont="1" applyFill="1" applyBorder="1" applyAlignment="1">
      <alignment horizontal="right" vertical="center" wrapText="1"/>
    </xf>
    <xf numFmtId="168" fontId="109" fillId="0" borderId="34" xfId="53" applyNumberFormat="1" applyFont="1" applyFill="1" applyBorder="1" applyAlignment="1">
      <alignment horizontal="right" vertical="center" wrapText="1"/>
    </xf>
    <xf numFmtId="166" fontId="54" fillId="0" borderId="5" xfId="5" applyNumberFormat="1" applyFont="1" applyFill="1" applyBorder="1" applyAlignment="1">
      <alignment horizontal="left" vertical="center" wrapText="1"/>
    </xf>
    <xf numFmtId="166" fontId="54" fillId="0" borderId="4" xfId="5" applyNumberFormat="1" applyFont="1" applyFill="1" applyBorder="1" applyAlignment="1">
      <alignment horizontal="left" vertical="center" wrapText="1"/>
    </xf>
    <xf numFmtId="49" fontId="75" fillId="0" borderId="4" xfId="5" applyNumberFormat="1" applyFont="1" applyFill="1" applyBorder="1" applyAlignment="1">
      <alignment horizontal="center" vertical="center" wrapText="1"/>
    </xf>
    <xf numFmtId="174" fontId="54" fillId="0" borderId="4" xfId="5" applyNumberFormat="1" applyFont="1" applyFill="1" applyBorder="1" applyAlignment="1">
      <alignment horizontal="right" vertical="center"/>
    </xf>
    <xf numFmtId="168" fontId="75" fillId="0" borderId="4" xfId="53" applyNumberFormat="1" applyFont="1" applyFill="1" applyBorder="1" applyAlignment="1">
      <alignment horizontal="right" vertical="center" wrapText="1"/>
    </xf>
    <xf numFmtId="168" fontId="75" fillId="0" borderId="3" xfId="53" applyNumberFormat="1" applyFont="1" applyFill="1" applyBorder="1" applyAlignment="1">
      <alignment horizontal="right" vertical="center" wrapText="1"/>
    </xf>
    <xf numFmtId="0" fontId="32" fillId="0" borderId="0" xfId="41" applyFont="1" applyFill="1"/>
    <xf numFmtId="49" fontId="32" fillId="0" borderId="0" xfId="5" applyNumberFormat="1" applyFont="1" applyFill="1" applyAlignment="1">
      <alignment horizontal="right" vertical="center"/>
    </xf>
    <xf numFmtId="49" fontId="32" fillId="0" borderId="0" xfId="5" applyNumberFormat="1" applyFont="1" applyFill="1" applyAlignment="1">
      <alignment horizontal="left" vertical="center"/>
    </xf>
    <xf numFmtId="0" fontId="32" fillId="0" borderId="0" xfId="27" applyFont="1" applyFill="1" applyAlignment="1"/>
    <xf numFmtId="0" fontId="11" fillId="0" borderId="1" xfId="3" applyFont="1" applyFill="1" applyBorder="1" applyAlignment="1">
      <alignment vertical="top" wrapText="1"/>
    </xf>
    <xf numFmtId="168" fontId="40" fillId="0" borderId="13" xfId="5" applyNumberFormat="1" applyFont="1" applyFill="1" applyBorder="1" applyAlignment="1">
      <alignment horizontal="right" vertical="center" wrapText="1"/>
    </xf>
    <xf numFmtId="49" fontId="12" fillId="0" borderId="2" xfId="3" applyNumberFormat="1" applyFont="1" applyFill="1" applyBorder="1" applyAlignment="1">
      <alignment horizontal="center" vertical="center" wrapText="1"/>
    </xf>
    <xf numFmtId="49" fontId="13" fillId="0" borderId="45" xfId="9" applyNumberFormat="1" applyFont="1" applyFill="1" applyBorder="1" applyAlignment="1">
      <alignment horizontal="left" vertical="center" wrapText="1"/>
    </xf>
    <xf numFmtId="0" fontId="12" fillId="0" borderId="23" xfId="9" applyFont="1" applyFill="1" applyBorder="1" applyAlignment="1">
      <alignment horizontal="left" vertical="center" wrapText="1"/>
    </xf>
    <xf numFmtId="168" fontId="12" fillId="0" borderId="23" xfId="9" applyNumberFormat="1" applyFont="1" applyFill="1" applyBorder="1" applyAlignment="1">
      <alignment horizontal="center" vertical="center" wrapText="1"/>
    </xf>
    <xf numFmtId="168" fontId="12" fillId="0" borderId="65" xfId="9" applyNumberFormat="1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vertical="center" wrapText="1"/>
    </xf>
    <xf numFmtId="0" fontId="12" fillId="0" borderId="5" xfId="9" applyFont="1" applyFill="1" applyBorder="1" applyAlignment="1">
      <alignment vertical="center" wrapText="1"/>
    </xf>
    <xf numFmtId="0" fontId="12" fillId="0" borderId="23" xfId="9" applyFont="1" applyFill="1" applyBorder="1" applyAlignment="1">
      <alignment vertical="center" wrapText="1"/>
    </xf>
    <xf numFmtId="0" fontId="12" fillId="0" borderId="4" xfId="9" applyFont="1" applyFill="1" applyBorder="1" applyAlignment="1">
      <alignment vertical="center" wrapText="1"/>
    </xf>
    <xf numFmtId="168" fontId="12" fillId="0" borderId="36" xfId="9" applyNumberFormat="1" applyFont="1" applyFill="1" applyBorder="1" applyAlignment="1">
      <alignment horizontal="center" vertical="center" wrapText="1"/>
    </xf>
    <xf numFmtId="168" fontId="12" fillId="0" borderId="58" xfId="9" applyNumberFormat="1" applyFont="1" applyFill="1" applyBorder="1" applyAlignment="1">
      <alignment horizontal="center" vertical="center" wrapText="1"/>
    </xf>
    <xf numFmtId="0" fontId="13" fillId="0" borderId="33" xfId="9" applyFont="1" applyFill="1" applyBorder="1" applyAlignment="1">
      <alignment horizontal="left" vertical="center" wrapText="1"/>
    </xf>
    <xf numFmtId="168" fontId="13" fillId="0" borderId="32" xfId="9" applyNumberFormat="1" applyFont="1" applyFill="1" applyBorder="1" applyAlignment="1">
      <alignment horizontal="center" vertical="center" wrapText="1"/>
    </xf>
    <xf numFmtId="168" fontId="12" fillId="0" borderId="32" xfId="9" applyNumberFormat="1" applyFont="1" applyFill="1" applyBorder="1" applyAlignment="1">
      <alignment horizontal="center" vertical="center" wrapText="1"/>
    </xf>
    <xf numFmtId="168" fontId="12" fillId="0" borderId="31" xfId="9" applyNumberFormat="1" applyFont="1" applyFill="1" applyBorder="1" applyAlignment="1">
      <alignment horizontal="center" vertical="center" wrapText="1"/>
    </xf>
    <xf numFmtId="0" fontId="12" fillId="0" borderId="72" xfId="9" applyFont="1" applyFill="1" applyBorder="1" applyAlignment="1">
      <alignment vertical="center"/>
    </xf>
    <xf numFmtId="0" fontId="12" fillId="0" borderId="44" xfId="9" applyFont="1" applyFill="1" applyBorder="1" applyAlignment="1">
      <alignment vertical="center"/>
    </xf>
    <xf numFmtId="0" fontId="12" fillId="0" borderId="36" xfId="9" applyFont="1" applyFill="1" applyBorder="1" applyAlignment="1">
      <alignment horizontal="left" vertical="center" wrapText="1"/>
    </xf>
    <xf numFmtId="0" fontId="12" fillId="0" borderId="33" xfId="9" applyFont="1" applyFill="1" applyBorder="1" applyAlignment="1">
      <alignment horizontal="left" vertical="center" wrapText="1"/>
    </xf>
    <xf numFmtId="168" fontId="12" fillId="0" borderId="81" xfId="9" applyNumberFormat="1" applyFont="1" applyFill="1" applyBorder="1" applyAlignment="1">
      <alignment horizontal="center" vertical="center" wrapText="1"/>
    </xf>
    <xf numFmtId="0" fontId="12" fillId="0" borderId="1" xfId="9" applyFont="1" applyFill="1" applyBorder="1" applyAlignment="1">
      <alignment horizontal="left"/>
    </xf>
    <xf numFmtId="0" fontId="32" fillId="0" borderId="0" xfId="9" applyFont="1" applyFill="1" applyAlignment="1">
      <alignment horizontal="right" vertical="center"/>
    </xf>
    <xf numFmtId="0" fontId="12" fillId="0" borderId="1" xfId="9" applyFont="1" applyFill="1" applyBorder="1" applyAlignment="1">
      <alignment horizontal="left" vertical="center" wrapText="1"/>
    </xf>
    <xf numFmtId="0" fontId="25" fillId="0" borderId="0" xfId="27" applyFont="1" applyAlignment="1">
      <alignment horizontal="center" wrapText="1"/>
    </xf>
    <xf numFmtId="0" fontId="51" fillId="0" borderId="0" xfId="54" applyFont="1" applyFill="1" applyAlignment="1">
      <alignment horizontal="left" vertical="top"/>
    </xf>
    <xf numFmtId="0" fontId="54" fillId="0" borderId="29" xfId="54" applyFont="1" applyFill="1" applyBorder="1" applyAlignment="1">
      <alignment horizontal="center" vertical="center" wrapText="1"/>
    </xf>
    <xf numFmtId="0" fontId="54" fillId="0" borderId="26" xfId="54" applyFont="1" applyFill="1" applyBorder="1" applyAlignment="1">
      <alignment horizontal="center" vertical="center" wrapText="1"/>
    </xf>
    <xf numFmtId="0" fontId="54" fillId="0" borderId="25" xfId="54" applyFont="1" applyFill="1" applyBorder="1" applyAlignment="1">
      <alignment horizontal="center" vertical="center" wrapText="1"/>
    </xf>
    <xf numFmtId="0" fontId="75" fillId="0" borderId="8" xfId="54" applyFont="1" applyFill="1" applyBorder="1" applyAlignment="1">
      <alignment horizontal="center" vertical="center" wrapText="1"/>
    </xf>
    <xf numFmtId="0" fontId="75" fillId="0" borderId="1" xfId="54" applyFont="1" applyFill="1" applyBorder="1" applyAlignment="1">
      <alignment horizontal="left" vertical="center" wrapText="1"/>
    </xf>
    <xf numFmtId="49" fontId="75" fillId="0" borderId="1" xfId="54" applyNumberFormat="1" applyFont="1" applyFill="1" applyBorder="1" applyAlignment="1">
      <alignment horizontal="center" vertical="center" wrapText="1"/>
    </xf>
    <xf numFmtId="168" fontId="75" fillId="0" borderId="1" xfId="55" applyNumberFormat="1" applyFont="1" applyFill="1" applyBorder="1" applyAlignment="1">
      <alignment horizontal="right" vertical="center" wrapText="1"/>
    </xf>
    <xf numFmtId="168" fontId="75" fillId="0" borderId="9" xfId="55" applyNumberFormat="1" applyFont="1" applyFill="1" applyBorder="1" applyAlignment="1">
      <alignment horizontal="right" vertical="center" wrapText="1"/>
    </xf>
    <xf numFmtId="0" fontId="109" fillId="0" borderId="8" xfId="54" applyFont="1" applyFill="1" applyBorder="1" applyAlignment="1">
      <alignment horizontal="center" vertical="center" wrapText="1"/>
    </xf>
    <xf numFmtId="0" fontId="109" fillId="0" borderId="1" xfId="54" applyFont="1" applyFill="1" applyBorder="1" applyAlignment="1">
      <alignment horizontal="lef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168" fontId="109" fillId="0" borderId="1" xfId="55" applyNumberFormat="1" applyFont="1" applyFill="1" applyBorder="1" applyAlignment="1">
      <alignment horizontal="right" vertical="center" wrapText="1"/>
    </xf>
    <xf numFmtId="168" fontId="109" fillId="0" borderId="9" xfId="55" applyNumberFormat="1" applyFont="1" applyFill="1" applyBorder="1" applyAlignment="1">
      <alignment horizontal="right" vertical="center" wrapText="1"/>
    </xf>
    <xf numFmtId="49" fontId="110" fillId="0" borderId="1" xfId="54" applyNumberFormat="1" applyFont="1" applyFill="1" applyBorder="1" applyAlignment="1">
      <alignment horizontal="center" vertical="center" wrapText="1"/>
    </xf>
    <xf numFmtId="0" fontId="109" fillId="0" borderId="24" xfId="54" applyFont="1" applyFill="1" applyBorder="1" applyAlignment="1">
      <alignment horizontal="center" vertical="center" wrapText="1"/>
    </xf>
    <xf numFmtId="0" fontId="109" fillId="0" borderId="23" xfId="54" applyFont="1" applyFill="1" applyBorder="1" applyAlignment="1">
      <alignment horizontal="left" vertical="center" wrapText="1"/>
    </xf>
    <xf numFmtId="168" fontId="109" fillId="0" borderId="23" xfId="55" applyNumberFormat="1" applyFont="1" applyFill="1" applyBorder="1" applyAlignment="1">
      <alignment horizontal="right" vertical="center" wrapText="1"/>
    </xf>
    <xf numFmtId="168" fontId="109" fillId="0" borderId="34" xfId="55" applyNumberFormat="1" applyFont="1" applyFill="1" applyBorder="1" applyAlignment="1">
      <alignment horizontal="right" vertical="center" wrapText="1"/>
    </xf>
    <xf numFmtId="168" fontId="75" fillId="0" borderId="4" xfId="55" applyNumberFormat="1" applyFont="1" applyFill="1" applyBorder="1" applyAlignment="1">
      <alignment horizontal="right" vertical="center" wrapText="1"/>
    </xf>
    <xf numFmtId="168" fontId="75" fillId="0" borderId="3" xfId="55" applyNumberFormat="1" applyFont="1" applyFill="1" applyBorder="1" applyAlignment="1">
      <alignment horizontal="right" vertical="center" wrapText="1"/>
    </xf>
    <xf numFmtId="0" fontId="9" fillId="0" borderId="45" xfId="3" applyFont="1" applyFill="1" applyBorder="1"/>
    <xf numFmtId="0" fontId="9" fillId="0" borderId="46" xfId="3" applyFont="1" applyFill="1" applyBorder="1" applyAlignment="1">
      <alignment horizontal="center"/>
    </xf>
    <xf numFmtId="0" fontId="9" fillId="0" borderId="46" xfId="3" applyFont="1" applyFill="1" applyBorder="1" applyAlignment="1">
      <alignment horizontal="center" vertical="center"/>
    </xf>
    <xf numFmtId="0" fontId="14" fillId="0" borderId="46" xfId="3" applyFont="1" applyFill="1" applyBorder="1" applyAlignment="1">
      <alignment horizontal="left" vertical="center"/>
    </xf>
    <xf numFmtId="0" fontId="12" fillId="0" borderId="46" xfId="0" applyFont="1" applyFill="1" applyBorder="1"/>
    <xf numFmtId="168" fontId="53" fillId="0" borderId="2" xfId="34" applyNumberFormat="1" applyFont="1" applyFill="1" applyBorder="1" applyAlignment="1"/>
    <xf numFmtId="0" fontId="32" fillId="0" borderId="0" xfId="7" applyFont="1" applyFill="1" applyAlignment="1">
      <alignment horizontal="right"/>
    </xf>
    <xf numFmtId="0" fontId="32" fillId="0" borderId="0" xfId="7" applyFont="1" applyFill="1" applyAlignment="1">
      <alignment horizontal="right"/>
    </xf>
    <xf numFmtId="0" fontId="12" fillId="0" borderId="0" xfId="9" applyFont="1" applyFill="1" applyBorder="1" applyAlignment="1">
      <alignment horizontal="left" vertical="center"/>
    </xf>
    <xf numFmtId="0" fontId="111" fillId="0" borderId="0" xfId="3" applyFont="1" applyFill="1"/>
    <xf numFmtId="177" fontId="11" fillId="0" borderId="19" xfId="46" applyNumberFormat="1" applyFont="1" applyFill="1" applyBorder="1" applyAlignment="1">
      <alignment vertical="center" wrapText="1"/>
    </xf>
    <xf numFmtId="0" fontId="12" fillId="0" borderId="15" xfId="9" applyFont="1" applyFill="1" applyBorder="1" applyAlignment="1">
      <alignment horizontal="left" vertical="center" wrapText="1"/>
    </xf>
    <xf numFmtId="0" fontId="13" fillId="0" borderId="60" xfId="9" applyFont="1" applyFill="1" applyBorder="1" applyAlignment="1">
      <alignment horizontal="left" vertical="center" wrapText="1"/>
    </xf>
    <xf numFmtId="0" fontId="12" fillId="0" borderId="18" xfId="9" applyFont="1" applyFill="1" applyBorder="1" applyAlignment="1">
      <alignment horizontal="left" vertical="center" wrapText="1"/>
    </xf>
    <xf numFmtId="0" fontId="12" fillId="0" borderId="28" xfId="9" applyFont="1" applyFill="1" applyBorder="1" applyAlignment="1">
      <alignment horizontal="left" vertical="center" wrapText="1"/>
    </xf>
    <xf numFmtId="0" fontId="13" fillId="0" borderId="45" xfId="9" applyFont="1" applyFill="1" applyBorder="1" applyAlignment="1">
      <alignment horizontal="left" vertical="center" wrapText="1"/>
    </xf>
    <xf numFmtId="0" fontId="12" fillId="0" borderId="41" xfId="9" applyFont="1" applyFill="1" applyBorder="1" applyAlignment="1">
      <alignment horizontal="left" vertical="center" wrapText="1"/>
    </xf>
    <xf numFmtId="0" fontId="12" fillId="0" borderId="67" xfId="9" applyFont="1" applyFill="1" applyBorder="1" applyAlignment="1">
      <alignment horizontal="left" vertical="center" wrapText="1"/>
    </xf>
    <xf numFmtId="0" fontId="13" fillId="0" borderId="44" xfId="9" applyFont="1" applyFill="1" applyBorder="1" applyAlignment="1">
      <alignment horizontal="left" vertical="center" wrapText="1"/>
    </xf>
    <xf numFmtId="0" fontId="13" fillId="0" borderId="51" xfId="9" applyFont="1" applyFill="1" applyBorder="1" applyAlignment="1">
      <alignment horizontal="left" vertical="center" wrapText="1"/>
    </xf>
    <xf numFmtId="174" fontId="14" fillId="0" borderId="32" xfId="24" applyNumberFormat="1" applyFont="1" applyFill="1" applyBorder="1" applyAlignment="1">
      <alignment horizontal="right"/>
    </xf>
    <xf numFmtId="174" fontId="14" fillId="0" borderId="31" xfId="24" applyNumberFormat="1" applyFont="1" applyFill="1" applyBorder="1" applyAlignment="1">
      <alignment horizontal="right"/>
    </xf>
    <xf numFmtId="174" fontId="53" fillId="0" borderId="1" xfId="34" applyNumberFormat="1" applyFont="1" applyFill="1" applyBorder="1" applyAlignment="1"/>
    <xf numFmtId="168" fontId="32" fillId="0" borderId="47" xfId="7" applyNumberFormat="1" applyFont="1" applyFill="1" applyBorder="1" applyAlignment="1">
      <alignment horizontal="right" vertical="distributed"/>
    </xf>
    <xf numFmtId="168" fontId="53" fillId="0" borderId="45" xfId="7" applyNumberFormat="1" applyFont="1" applyFill="1" applyBorder="1" applyAlignment="1">
      <alignment horizontal="center"/>
    </xf>
    <xf numFmtId="168" fontId="53" fillId="0" borderId="47" xfId="7" applyNumberFormat="1" applyFont="1" applyFill="1" applyBorder="1" applyAlignment="1">
      <alignment horizontal="center"/>
    </xf>
    <xf numFmtId="174" fontId="32" fillId="0" borderId="47" xfId="7" applyNumberFormat="1" applyFont="1" applyFill="1" applyBorder="1" applyAlignment="1">
      <alignment horizontal="right" vertical="distributed"/>
    </xf>
    <xf numFmtId="174" fontId="53" fillId="0" borderId="45" xfId="7" applyNumberFormat="1" applyFont="1" applyFill="1" applyBorder="1" applyAlignment="1">
      <alignment horizontal="center"/>
    </xf>
    <xf numFmtId="174" fontId="53" fillId="0" borderId="47" xfId="7" applyNumberFormat="1" applyFont="1" applyFill="1" applyBorder="1" applyAlignment="1">
      <alignment horizontal="center"/>
    </xf>
    <xf numFmtId="0" fontId="32" fillId="0" borderId="46" xfId="7" applyFont="1" applyFill="1" applyBorder="1" applyAlignment="1">
      <alignment horizontal="center"/>
    </xf>
    <xf numFmtId="0" fontId="32" fillId="0" borderId="47" xfId="7" applyFont="1" applyFill="1" applyBorder="1" applyAlignment="1">
      <alignment horizontal="center"/>
    </xf>
    <xf numFmtId="175" fontId="32" fillId="0" borderId="47" xfId="26" applyNumberFormat="1" applyFont="1" applyFill="1" applyBorder="1" applyAlignment="1">
      <alignment horizontal="right" vertical="distributed"/>
    </xf>
    <xf numFmtId="174" fontId="53" fillId="0" borderId="1" xfId="7" applyNumberFormat="1" applyFont="1" applyFill="1" applyBorder="1" applyAlignment="1"/>
    <xf numFmtId="168" fontId="53" fillId="0" borderId="1" xfId="7" applyNumberFormat="1" applyFont="1" applyFill="1" applyBorder="1" applyAlignment="1"/>
    <xf numFmtId="0" fontId="36" fillId="0" borderId="0" xfId="7" applyFont="1" applyFill="1" applyAlignment="1">
      <alignment horizontal="right"/>
    </xf>
    <xf numFmtId="168" fontId="32" fillId="0" borderId="47" xfId="26" applyNumberFormat="1" applyFont="1" applyFill="1" applyBorder="1" applyAlignment="1">
      <alignment horizontal="right" vertical="distributed"/>
    </xf>
    <xf numFmtId="0" fontId="32" fillId="0" borderId="0" xfId="9" applyFont="1" applyFill="1" applyAlignment="1">
      <alignment horizontal="right" vertical="center"/>
    </xf>
    <xf numFmtId="168" fontId="53" fillId="0" borderId="1" xfId="34" applyNumberFormat="1" applyFont="1" applyFill="1" applyBorder="1" applyAlignment="1"/>
    <xf numFmtId="49" fontId="15" fillId="0" borderId="13" xfId="3" applyNumberFormat="1" applyFont="1" applyFill="1" applyBorder="1" applyAlignment="1">
      <alignment horizontal="center" vertical="center" wrapText="1"/>
    </xf>
    <xf numFmtId="49" fontId="15" fillId="0" borderId="7" xfId="3" applyNumberFormat="1" applyFont="1" applyFill="1" applyBorder="1" applyAlignment="1">
      <alignment horizontal="center" vertical="center" wrapText="1"/>
    </xf>
    <xf numFmtId="176" fontId="32" fillId="0" borderId="0" xfId="9" applyNumberFormat="1" applyFont="1" applyFill="1" applyAlignment="1">
      <alignment horizontal="right" vertical="center"/>
    </xf>
    <xf numFmtId="176" fontId="36" fillId="0" borderId="0" xfId="7" applyNumberFormat="1" applyFont="1" applyFill="1" applyAlignment="1">
      <alignment horizontal="right"/>
    </xf>
    <xf numFmtId="172" fontId="12" fillId="0" borderId="1" xfId="11" applyNumberFormat="1" applyFont="1" applyFill="1" applyBorder="1" applyAlignment="1" applyProtection="1">
      <alignment horizontal="left" vertical="center" wrapText="1"/>
    </xf>
    <xf numFmtId="0" fontId="12" fillId="0" borderId="2" xfId="3" applyFont="1" applyFill="1" applyBorder="1" applyAlignment="1">
      <alignment horizontal="center" vertical="center"/>
    </xf>
    <xf numFmtId="174" fontId="75" fillId="0" borderId="4" xfId="55" applyNumberFormat="1" applyFont="1" applyFill="1" applyBorder="1" applyAlignment="1">
      <alignment horizontal="right" vertical="center" wrapText="1"/>
    </xf>
    <xf numFmtId="174" fontId="75" fillId="0" borderId="3" xfId="55" applyNumberFormat="1" applyFont="1" applyFill="1" applyBorder="1" applyAlignment="1">
      <alignment horizontal="right" vertical="center" wrapText="1"/>
    </xf>
    <xf numFmtId="174" fontId="75" fillId="0" borderId="1" xfId="55" applyNumberFormat="1" applyFont="1" applyFill="1" applyBorder="1" applyAlignment="1">
      <alignment horizontal="right" vertical="center" wrapText="1"/>
    </xf>
    <xf numFmtId="174" fontId="75" fillId="0" borderId="9" xfId="55" applyNumberFormat="1" applyFont="1" applyFill="1" applyBorder="1" applyAlignment="1">
      <alignment horizontal="right" vertical="center" wrapText="1"/>
    </xf>
    <xf numFmtId="174" fontId="109" fillId="0" borderId="1" xfId="55" applyNumberFormat="1" applyFont="1" applyFill="1" applyBorder="1" applyAlignment="1">
      <alignment horizontal="right" vertical="center" wrapText="1"/>
    </xf>
    <xf numFmtId="174" fontId="109" fillId="0" borderId="9" xfId="55" applyNumberFormat="1" applyFont="1" applyFill="1" applyBorder="1" applyAlignment="1">
      <alignment horizontal="right" vertical="center" wrapText="1"/>
    </xf>
    <xf numFmtId="174" fontId="12" fillId="0" borderId="26" xfId="9" applyNumberFormat="1" applyFont="1" applyFill="1" applyBorder="1" applyAlignment="1">
      <alignment horizontal="center" vertical="center" wrapText="1"/>
    </xf>
    <xf numFmtId="174" fontId="12" fillId="0" borderId="68" xfId="9" applyNumberFormat="1" applyFont="1" applyFill="1" applyBorder="1" applyAlignment="1">
      <alignment horizontal="center" vertical="center" wrapText="1"/>
    </xf>
    <xf numFmtId="174" fontId="12" fillId="0" borderId="23" xfId="9" applyNumberFormat="1" applyFont="1" applyFill="1" applyBorder="1" applyAlignment="1">
      <alignment horizontal="center" vertical="center" wrapText="1"/>
    </xf>
    <xf numFmtId="174" fontId="12" fillId="0" borderId="65" xfId="9" applyNumberFormat="1" applyFont="1" applyFill="1" applyBorder="1" applyAlignment="1">
      <alignment horizontal="center" vertical="center" wrapText="1"/>
    </xf>
    <xf numFmtId="174" fontId="13" fillId="0" borderId="67" xfId="9" applyNumberFormat="1" applyFont="1" applyFill="1" applyBorder="1" applyAlignment="1">
      <alignment horizontal="center" vertical="center" wrapText="1"/>
    </xf>
    <xf numFmtId="174" fontId="13" fillId="0" borderId="46" xfId="9" applyNumberFormat="1" applyFont="1" applyFill="1" applyBorder="1" applyAlignment="1">
      <alignment horizontal="center" vertical="center" wrapText="1"/>
    </xf>
    <xf numFmtId="174" fontId="12" fillId="0" borderId="1" xfId="9" applyNumberFormat="1" applyFont="1" applyFill="1" applyBorder="1" applyAlignment="1">
      <alignment horizontal="center" vertical="center" wrapText="1"/>
    </xf>
    <xf numFmtId="174" fontId="12" fillId="0" borderId="14" xfId="9" applyNumberFormat="1" applyFont="1" applyFill="1" applyBorder="1" applyAlignment="1">
      <alignment horizontal="center" vertical="center" wrapText="1"/>
    </xf>
    <xf numFmtId="174" fontId="13" fillId="0" borderId="32" xfId="9" applyNumberFormat="1" applyFont="1" applyFill="1" applyBorder="1" applyAlignment="1">
      <alignment horizontal="center" vertical="center" wrapText="1"/>
    </xf>
    <xf numFmtId="174" fontId="13" fillId="0" borderId="31" xfId="9" applyNumberFormat="1" applyFont="1" applyFill="1" applyBorder="1" applyAlignment="1">
      <alignment horizontal="center" vertical="center" wrapText="1"/>
    </xf>
    <xf numFmtId="174" fontId="12" fillId="0" borderId="2" xfId="9" applyNumberFormat="1" applyFont="1" applyFill="1" applyBorder="1" applyAlignment="1">
      <alignment horizontal="center" vertical="center" wrapText="1"/>
    </xf>
    <xf numFmtId="174" fontId="12" fillId="0" borderId="30" xfId="9" applyNumberFormat="1" applyFont="1" applyFill="1" applyBorder="1" applyAlignment="1">
      <alignment horizontal="center" vertical="center" wrapText="1"/>
    </xf>
    <xf numFmtId="174" fontId="13" fillId="0" borderId="47" xfId="9" applyNumberFormat="1" applyFont="1" applyFill="1" applyBorder="1" applyAlignment="1">
      <alignment horizontal="center" vertical="center" wrapText="1"/>
    </xf>
    <xf numFmtId="174" fontId="13" fillId="0" borderId="51" xfId="9" applyNumberFormat="1" applyFont="1" applyFill="1" applyBorder="1" applyAlignment="1">
      <alignment horizontal="center" vertical="center" wrapText="1"/>
    </xf>
    <xf numFmtId="174" fontId="13" fillId="0" borderId="27" xfId="9" applyNumberFormat="1" applyFont="1" applyFill="1" applyBorder="1" applyAlignment="1">
      <alignment horizontal="center" vertical="center" wrapText="1"/>
    </xf>
    <xf numFmtId="174" fontId="13" fillId="0" borderId="41" xfId="9" applyNumberFormat="1" applyFont="1" applyFill="1" applyBorder="1" applyAlignment="1">
      <alignment horizontal="center" vertical="center" wrapText="1"/>
    </xf>
    <xf numFmtId="174" fontId="13" fillId="0" borderId="85" xfId="9" applyNumberFormat="1" applyFont="1" applyFill="1" applyBorder="1" applyAlignment="1">
      <alignment horizontal="center" vertical="center" wrapText="1"/>
    </xf>
    <xf numFmtId="174" fontId="13" fillId="0" borderId="38" xfId="9" applyNumberFormat="1" applyFont="1" applyFill="1" applyBorder="1" applyAlignment="1">
      <alignment horizontal="center" vertical="center" wrapText="1"/>
    </xf>
    <xf numFmtId="174" fontId="13" fillId="0" borderId="44" xfId="9" applyNumberFormat="1" applyFont="1" applyFill="1" applyBorder="1" applyAlignment="1">
      <alignment horizontal="center" vertical="center" wrapText="1"/>
    </xf>
    <xf numFmtId="183" fontId="53" fillId="0" borderId="1" xfId="34" applyNumberFormat="1" applyFont="1" applyFill="1" applyBorder="1" applyAlignment="1"/>
    <xf numFmtId="183" fontId="53" fillId="0" borderId="1" xfId="7" applyNumberFormat="1" applyFont="1" applyFill="1" applyBorder="1" applyAlignment="1"/>
    <xf numFmtId="183" fontId="32" fillId="0" borderId="47" xfId="26" applyNumberFormat="1" applyFont="1" applyFill="1" applyBorder="1" applyAlignment="1">
      <alignment horizontal="right" vertical="distributed"/>
    </xf>
    <xf numFmtId="183" fontId="25" fillId="0" borderId="38" xfId="26" applyNumberFormat="1" applyFont="1" applyFill="1" applyBorder="1" applyAlignment="1">
      <alignment horizontal="right" vertical="distributed"/>
    </xf>
    <xf numFmtId="183" fontId="25" fillId="0" borderId="43" xfId="26" applyNumberFormat="1" applyFont="1" applyFill="1" applyBorder="1" applyAlignment="1">
      <alignment horizontal="right" vertical="distributed"/>
    </xf>
    <xf numFmtId="183" fontId="53" fillId="0" borderId="0" xfId="34" applyNumberFormat="1" applyFont="1" applyFill="1" applyBorder="1" applyAlignment="1"/>
    <xf numFmtId="183" fontId="53" fillId="0" borderId="0" xfId="7" applyNumberFormat="1" applyFont="1" applyFill="1" applyBorder="1" applyAlignment="1"/>
    <xf numFmtId="183" fontId="55" fillId="0" borderId="38" xfId="26" applyNumberFormat="1" applyFont="1" applyFill="1" applyBorder="1" applyAlignment="1">
      <alignment horizontal="center"/>
    </xf>
    <xf numFmtId="183" fontId="55" fillId="0" borderId="43" xfId="26" applyNumberFormat="1" applyFont="1" applyFill="1" applyBorder="1" applyAlignment="1">
      <alignment horizontal="center"/>
    </xf>
    <xf numFmtId="177" fontId="53" fillId="0" borderId="1" xfId="34" applyNumberFormat="1" applyFont="1" applyFill="1" applyBorder="1" applyAlignment="1"/>
    <xf numFmtId="177" fontId="32" fillId="0" borderId="52" xfId="9" applyNumberFormat="1" applyFont="1" applyFill="1" applyBorder="1" applyAlignment="1">
      <alignment horizontal="right" vertical="distributed"/>
    </xf>
    <xf numFmtId="177" fontId="53" fillId="0" borderId="28" xfId="34" applyNumberFormat="1" applyFont="1" applyFill="1" applyBorder="1" applyAlignment="1"/>
    <xf numFmtId="177" fontId="53" fillId="0" borderId="26" xfId="34" applyNumberFormat="1" applyFont="1" applyFill="1" applyBorder="1" applyAlignment="1"/>
    <xf numFmtId="177" fontId="53" fillId="0" borderId="25" xfId="34" applyNumberFormat="1" applyFont="1" applyFill="1" applyBorder="1" applyAlignment="1"/>
    <xf numFmtId="177" fontId="32" fillId="0" borderId="55" xfId="26" applyNumberFormat="1" applyFont="1" applyFill="1" applyBorder="1" applyAlignment="1">
      <alignment horizontal="distributed" vertical="distributed"/>
    </xf>
    <xf numFmtId="177" fontId="53" fillId="0" borderId="1" xfId="7" applyNumberFormat="1" applyFont="1" applyFill="1" applyBorder="1" applyAlignment="1"/>
    <xf numFmtId="177" fontId="32" fillId="0" borderId="43" xfId="26" applyNumberFormat="1" applyFont="1" applyFill="1" applyBorder="1" applyAlignment="1">
      <alignment horizontal="right" vertical="distributed"/>
    </xf>
    <xf numFmtId="177" fontId="32" fillId="0" borderId="47" xfId="26" applyNumberFormat="1" applyFont="1" applyFill="1" applyBorder="1" applyAlignment="1">
      <alignment horizontal="right" vertical="distributed"/>
    </xf>
    <xf numFmtId="177" fontId="53" fillId="0" borderId="45" xfId="26" applyNumberFormat="1" applyFont="1" applyFill="1" applyBorder="1" applyAlignment="1"/>
    <xf numFmtId="177" fontId="53" fillId="0" borderId="47" xfId="26" applyNumberFormat="1" applyFont="1" applyFill="1" applyBorder="1" applyAlignment="1"/>
    <xf numFmtId="177" fontId="53" fillId="0" borderId="1" xfId="34" applyNumberFormat="1" applyFont="1" applyFill="1" applyBorder="1" applyAlignment="1">
      <alignment horizontal="right"/>
    </xf>
    <xf numFmtId="177" fontId="53" fillId="0" borderId="1" xfId="7" applyNumberFormat="1" applyFont="1" applyFill="1" applyBorder="1" applyAlignment="1">
      <alignment horizontal="right"/>
    </xf>
    <xf numFmtId="177" fontId="53" fillId="0" borderId="45" xfId="26" applyNumberFormat="1" applyFont="1" applyFill="1" applyBorder="1" applyAlignment="1">
      <alignment horizontal="right"/>
    </xf>
    <xf numFmtId="177" fontId="53" fillId="0" borderId="47" xfId="26" applyNumberFormat="1" applyFont="1" applyFill="1" applyBorder="1" applyAlignment="1">
      <alignment horizontal="right"/>
    </xf>
    <xf numFmtId="183" fontId="55" fillId="0" borderId="45" xfId="26" applyNumberFormat="1" applyFont="1" applyFill="1" applyBorder="1" applyAlignment="1">
      <alignment horizontal="right"/>
    </xf>
    <xf numFmtId="183" fontId="53" fillId="0" borderId="47" xfId="7" applyNumberFormat="1" applyFont="1" applyFill="1" applyBorder="1" applyAlignment="1">
      <alignment horizontal="center"/>
    </xf>
    <xf numFmtId="177" fontId="16" fillId="0" borderId="19" xfId="46" applyNumberFormat="1" applyFont="1" applyFill="1" applyBorder="1" applyAlignment="1">
      <alignment vertical="center"/>
    </xf>
    <xf numFmtId="177" fontId="16" fillId="0" borderId="7" xfId="34" applyNumberFormat="1" applyFont="1" applyFill="1" applyBorder="1" applyAlignment="1">
      <alignment horizontal="right" vertical="center"/>
    </xf>
    <xf numFmtId="177" fontId="16" fillId="0" borderId="13" xfId="34" applyNumberFormat="1" applyFont="1" applyFill="1" applyBorder="1" applyAlignment="1">
      <alignment horizontal="right" vertical="center"/>
    </xf>
    <xf numFmtId="177" fontId="16" fillId="0" borderId="9" xfId="34" applyNumberFormat="1" applyFont="1" applyFill="1" applyBorder="1" applyAlignment="1">
      <alignment horizontal="right" vertical="center"/>
    </xf>
    <xf numFmtId="177" fontId="16" fillId="0" borderId="19" xfId="34" applyNumberFormat="1" applyFont="1" applyFill="1" applyBorder="1" applyAlignment="1">
      <alignment horizontal="right" vertical="center"/>
    </xf>
    <xf numFmtId="177" fontId="16" fillId="0" borderId="7" xfId="34" applyNumberFormat="1" applyFont="1" applyFill="1" applyBorder="1" applyAlignment="1">
      <alignment horizontal="center" vertical="center"/>
    </xf>
    <xf numFmtId="177" fontId="16" fillId="0" borderId="10" xfId="34" applyNumberFormat="1" applyFont="1" applyFill="1" applyBorder="1" applyAlignment="1">
      <alignment horizontal="right" vertical="center"/>
    </xf>
    <xf numFmtId="177" fontId="16" fillId="0" borderId="19" xfId="46" applyNumberFormat="1" applyFont="1" applyFill="1" applyBorder="1" applyAlignment="1">
      <alignment vertical="center" wrapText="1"/>
    </xf>
    <xf numFmtId="177" fontId="16" fillId="0" borderId="7" xfId="34" applyNumberFormat="1" applyFont="1" applyFill="1" applyBorder="1" applyAlignment="1">
      <alignment vertical="center" wrapText="1"/>
    </xf>
    <xf numFmtId="177" fontId="16" fillId="0" borderId="13" xfId="34" applyNumberFormat="1" applyFont="1" applyFill="1" applyBorder="1" applyAlignment="1">
      <alignment horizontal="right" vertical="center" wrapText="1"/>
    </xf>
    <xf numFmtId="177" fontId="1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3" fillId="0" borderId="19" xfId="46" applyNumberFormat="1" applyFont="1" applyFill="1" applyBorder="1" applyAlignment="1">
      <alignment vertical="center" wrapText="1"/>
    </xf>
    <xf numFmtId="177" fontId="13" fillId="0" borderId="7" xfId="34" applyNumberFormat="1" applyFont="1" applyFill="1" applyBorder="1" applyAlignment="1">
      <alignment horizontal="right" vertical="center" wrapText="1"/>
    </xf>
    <xf numFmtId="177" fontId="13" fillId="0" borderId="1" xfId="34" applyNumberFormat="1" applyFont="1" applyFill="1" applyBorder="1" applyAlignment="1">
      <alignment horizontal="right" vertical="center" wrapText="1"/>
    </xf>
    <xf numFmtId="177" fontId="13" fillId="0" borderId="14" xfId="34" applyNumberFormat="1" applyFont="1" applyFill="1" applyBorder="1" applyAlignment="1">
      <alignment horizontal="right" vertical="center" wrapText="1"/>
    </xf>
    <xf numFmtId="177" fontId="13" fillId="0" borderId="19" xfId="34" applyNumberFormat="1" applyFont="1" applyFill="1" applyBorder="1" applyAlignment="1">
      <alignment horizontal="right" vertical="center" wrapText="1"/>
    </xf>
    <xf numFmtId="177" fontId="25" fillId="0" borderId="0" xfId="35" applyNumberFormat="1" applyFont="1" applyFill="1" applyBorder="1" applyAlignment="1"/>
    <xf numFmtId="177" fontId="16" fillId="0" borderId="7" xfId="34" applyNumberFormat="1" applyFont="1" applyFill="1" applyBorder="1" applyAlignment="1">
      <alignment horizontal="right" vertical="center" wrapText="1"/>
    </xf>
    <xf numFmtId="177" fontId="16" fillId="0" borderId="1" xfId="34" applyNumberFormat="1" applyFont="1" applyFill="1" applyBorder="1" applyAlignment="1">
      <alignment horizontal="right" vertical="center" wrapText="1"/>
    </xf>
    <xf numFmtId="177" fontId="16" fillId="0" borderId="14" xfId="34" applyNumberFormat="1" applyFont="1" applyFill="1" applyBorder="1" applyAlignment="1">
      <alignment horizontal="right" vertical="center" wrapText="1"/>
    </xf>
    <xf numFmtId="177" fontId="16" fillId="0" borderId="7" xfId="3" applyNumberFormat="1" applyFont="1" applyFill="1" applyBorder="1" applyAlignment="1">
      <alignment vertical="center" wrapText="1"/>
    </xf>
    <xf numFmtId="177" fontId="16" fillId="0" borderId="1" xfId="3" applyNumberFormat="1" applyFont="1" applyFill="1" applyBorder="1" applyAlignment="1">
      <alignment vertical="center" wrapText="1"/>
    </xf>
    <xf numFmtId="177" fontId="16" fillId="0" borderId="14" xfId="3" applyNumberFormat="1" applyFont="1" applyFill="1" applyBorder="1" applyAlignment="1">
      <alignment horizontal="right" vertical="center" wrapText="1"/>
    </xf>
    <xf numFmtId="177" fontId="16" fillId="0" borderId="19" xfId="3" applyNumberFormat="1" applyFont="1" applyFill="1" applyBorder="1" applyAlignment="1">
      <alignment horizontal="right" vertical="center" wrapText="1"/>
    </xf>
    <xf numFmtId="177" fontId="19" fillId="0" borderId="0" xfId="3" applyNumberFormat="1" applyFont="1" applyFill="1" applyBorder="1"/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 indent="1"/>
    </xf>
    <xf numFmtId="183" fontId="12" fillId="0" borderId="7" xfId="34" applyNumberFormat="1" applyFont="1" applyFill="1" applyBorder="1" applyAlignment="1">
      <alignment horizontal="right" vertical="center" wrapText="1"/>
    </xf>
    <xf numFmtId="183" fontId="12" fillId="0" borderId="1" xfId="34" applyNumberFormat="1" applyFont="1" applyFill="1" applyBorder="1" applyAlignment="1">
      <alignment horizontal="right" vertical="center" wrapText="1"/>
    </xf>
    <xf numFmtId="183" fontId="12" fillId="0" borderId="14" xfId="34" applyNumberFormat="1" applyFont="1" applyFill="1" applyBorder="1" applyAlignment="1">
      <alignment horizontal="right" vertical="center" wrapText="1"/>
    </xf>
    <xf numFmtId="183" fontId="12" fillId="0" borderId="19" xfId="34" applyNumberFormat="1" applyFont="1" applyFill="1" applyBorder="1" applyAlignment="1">
      <alignment horizontal="right" vertical="center" wrapText="1"/>
    </xf>
    <xf numFmtId="183" fontId="9" fillId="0" borderId="0" xfId="3" applyNumberFormat="1" applyFont="1" applyFill="1" applyBorder="1"/>
    <xf numFmtId="183" fontId="16" fillId="0" borderId="19" xfId="46" applyNumberFormat="1" applyFont="1" applyFill="1" applyBorder="1" applyAlignment="1">
      <alignment vertical="center" wrapText="1"/>
    </xf>
    <xf numFmtId="183" fontId="16" fillId="0" borderId="7" xfId="3" applyNumberFormat="1" applyFont="1" applyFill="1" applyBorder="1" applyAlignment="1">
      <alignment vertical="center" wrapText="1"/>
    </xf>
    <xf numFmtId="183" fontId="16" fillId="0" borderId="1" xfId="3" applyNumberFormat="1" applyFont="1" applyFill="1" applyBorder="1" applyAlignment="1">
      <alignment vertical="center" wrapText="1"/>
    </xf>
    <xf numFmtId="183" fontId="16" fillId="0" borderId="14" xfId="3" applyNumberFormat="1" applyFont="1" applyFill="1" applyBorder="1" applyAlignment="1">
      <alignment horizontal="right" vertical="center" wrapText="1"/>
    </xf>
    <xf numFmtId="183" fontId="16" fillId="0" borderId="19" xfId="3" applyNumberFormat="1" applyFont="1" applyFill="1" applyBorder="1" applyAlignment="1">
      <alignment horizontal="right" vertical="center" wrapTex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11" fillId="0" borderId="7" xfId="3" applyNumberFormat="1" applyFont="1" applyFill="1" applyBorder="1" applyAlignment="1">
      <alignment horizontal="right" vertical="center" wrapText="1" indent="1"/>
    </xf>
    <xf numFmtId="183" fontId="11" fillId="0" borderId="1" xfId="3" applyNumberFormat="1" applyFont="1" applyFill="1" applyBorder="1" applyAlignment="1">
      <alignment horizontal="right" vertical="center" wrapText="1" indent="1"/>
    </xf>
    <xf numFmtId="183" fontId="11" fillId="0" borderId="14" xfId="3" applyNumberFormat="1" applyFont="1" applyFill="1" applyBorder="1" applyAlignment="1">
      <alignment horizontal="right" vertical="center" wrapText="1" indent="1"/>
    </xf>
    <xf numFmtId="183" fontId="11" fillId="0" borderId="19" xfId="3" applyNumberFormat="1" applyFont="1" applyFill="1" applyBorder="1" applyAlignment="1">
      <alignment horizontal="right" vertical="center" wrapText="1" indent="1"/>
    </xf>
    <xf numFmtId="183" fontId="9" fillId="0" borderId="0" xfId="3" applyNumberFormat="1" applyFont="1" applyFill="1" applyBorder="1" applyAlignment="1">
      <alignment horizontal="right" indent="1"/>
    </xf>
    <xf numFmtId="183" fontId="16" fillId="0" borderId="7" xfId="3" applyNumberFormat="1" applyFont="1" applyFill="1" applyBorder="1" applyAlignment="1">
      <alignment horizontal="right" vertical="center" wrapText="1" indent="1"/>
    </xf>
    <xf numFmtId="183" fontId="16" fillId="0" borderId="1" xfId="3" applyNumberFormat="1" applyFont="1" applyFill="1" applyBorder="1" applyAlignment="1">
      <alignment horizontal="right" vertical="center" wrapText="1" indent="1"/>
    </xf>
    <xf numFmtId="183" fontId="16" fillId="0" borderId="14" xfId="3" applyNumberFormat="1" applyFont="1" applyFill="1" applyBorder="1" applyAlignment="1">
      <alignment horizontal="right" vertical="center" wrapText="1" indent="1"/>
    </xf>
    <xf numFmtId="183" fontId="16" fillId="0" borderId="19" xfId="3" applyNumberFormat="1" applyFont="1" applyFill="1" applyBorder="1" applyAlignment="1">
      <alignment horizontal="right" vertical="center" wrapText="1" inden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13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horizontal="right" vertical="center" wrapText="1" indent="1"/>
    </xf>
    <xf numFmtId="177" fontId="9" fillId="0" borderId="0" xfId="24" applyNumberFormat="1" applyFont="1" applyFill="1" applyBorder="1"/>
    <xf numFmtId="177" fontId="12" fillId="0" borderId="19" xfId="46" applyNumberFormat="1" applyFont="1" applyFill="1" applyBorder="1" applyAlignment="1">
      <alignment horizontal="right" wrapText="1" indent="1"/>
    </xf>
    <xf numFmtId="177" fontId="22" fillId="0" borderId="0" xfId="3" applyNumberFormat="1" applyFont="1" applyFill="1" applyBorder="1"/>
    <xf numFmtId="183" fontId="11" fillId="0" borderId="19" xfId="46" applyNumberFormat="1" applyFont="1" applyFill="1" applyBorder="1" applyAlignment="1">
      <alignment vertical="center" wrapText="1"/>
    </xf>
    <xf numFmtId="183" fontId="11" fillId="0" borderId="7" xfId="34" applyNumberFormat="1" applyFont="1" applyFill="1" applyBorder="1" applyAlignment="1">
      <alignment horizontal="right" vertical="center" wrapText="1"/>
    </xf>
    <xf numFmtId="183" fontId="11" fillId="0" borderId="1" xfId="34" applyNumberFormat="1" applyFont="1" applyFill="1" applyBorder="1" applyAlignment="1">
      <alignment horizontal="right" vertical="center" wrapText="1"/>
    </xf>
    <xf numFmtId="183" fontId="11" fillId="0" borderId="14" xfId="34" applyNumberFormat="1" applyFont="1" applyFill="1" applyBorder="1" applyAlignment="1">
      <alignment horizontal="right" vertical="center" wrapText="1"/>
    </xf>
    <xf numFmtId="183" fontId="11" fillId="0" borderId="19" xfId="34" applyNumberFormat="1" applyFont="1" applyFill="1" applyBorder="1" applyAlignment="1">
      <alignment horizontal="right" vertical="center" wrapText="1"/>
    </xf>
    <xf numFmtId="183" fontId="19" fillId="0" borderId="0" xfId="3" applyNumberFormat="1" applyFont="1" applyFill="1" applyBorder="1"/>
    <xf numFmtId="183" fontId="11" fillId="0" borderId="71" xfId="46" applyNumberFormat="1" applyFont="1" applyFill="1" applyBorder="1" applyAlignment="1">
      <alignment horizontal="right" vertical="center" wrapText="1" indent="1"/>
    </xf>
    <xf numFmtId="183" fontId="11" fillId="0" borderId="30" xfId="34" applyNumberFormat="1" applyFont="1" applyFill="1" applyBorder="1" applyAlignment="1">
      <alignment horizontal="right" vertical="center" wrapText="1"/>
    </xf>
    <xf numFmtId="183" fontId="11" fillId="0" borderId="71" xfId="34" applyNumberFormat="1" applyFont="1" applyFill="1" applyBorder="1" applyAlignment="1">
      <alignment horizontal="right" vertical="center" wrapText="1"/>
    </xf>
    <xf numFmtId="183" fontId="16" fillId="0" borderId="19" xfId="46" applyNumberFormat="1" applyFont="1" applyFill="1" applyBorder="1" applyAlignment="1">
      <alignment horizontal="right" vertical="center" wrapText="1" indent="1"/>
    </xf>
    <xf numFmtId="183" fontId="16" fillId="0" borderId="7" xfId="34" applyNumberFormat="1" applyFont="1" applyFill="1" applyBorder="1" applyAlignment="1">
      <alignment horizontal="right" vertical="center" wrapText="1"/>
    </xf>
    <xf numFmtId="183" fontId="16" fillId="0" borderId="1" xfId="34" applyNumberFormat="1" applyFont="1" applyFill="1" applyBorder="1" applyAlignment="1">
      <alignment horizontal="right" vertical="center" wrapText="1"/>
    </xf>
    <xf numFmtId="183" fontId="16" fillId="0" borderId="14" xfId="34" applyNumberFormat="1" applyFont="1" applyFill="1" applyBorder="1" applyAlignment="1">
      <alignment horizontal="right" vertical="center" wrapText="1"/>
    </xf>
    <xf numFmtId="183" fontId="16" fillId="0" borderId="19" xfId="34" applyNumberFormat="1" applyFont="1" applyFill="1" applyBorder="1" applyAlignment="1">
      <alignment horizontal="right" vertical="center" wrapText="1"/>
    </xf>
    <xf numFmtId="177" fontId="11" fillId="0" borderId="7" xfId="3" applyNumberFormat="1" applyFont="1" applyFill="1" applyBorder="1" applyAlignment="1">
      <alignment vertical="center" wrapText="1"/>
    </xf>
    <xf numFmtId="177" fontId="11" fillId="0" borderId="1" xfId="3" applyNumberFormat="1" applyFont="1" applyFill="1" applyBorder="1" applyAlignment="1">
      <alignment vertical="center" wrapText="1"/>
    </xf>
    <xf numFmtId="177" fontId="11" fillId="0" borderId="14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7" fontId="11" fillId="0" borderId="14" xfId="38" applyNumberFormat="1" applyFont="1" applyFill="1" applyBorder="1" applyAlignment="1">
      <alignment horizontal="right" vertical="center" wrapText="1"/>
    </xf>
    <xf numFmtId="177" fontId="11" fillId="0" borderId="19" xfId="38" applyNumberFormat="1" applyFont="1" applyFill="1" applyBorder="1" applyAlignment="1">
      <alignment horizontal="right" vertical="center" wrapText="1"/>
    </xf>
    <xf numFmtId="177" fontId="107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left" vertical="center" wrapText="1" indent="1"/>
    </xf>
    <xf numFmtId="177" fontId="12" fillId="0" borderId="1" xfId="34" applyNumberFormat="1" applyFont="1" applyFill="1" applyBorder="1" applyAlignment="1">
      <alignment horizontal="left" vertical="center" wrapText="1" indent="1"/>
    </xf>
    <xf numFmtId="177" fontId="12" fillId="0" borderId="14" xfId="34" applyNumberFormat="1" applyFont="1" applyFill="1" applyBorder="1" applyAlignment="1">
      <alignment horizontal="left" vertical="center" wrapText="1" indent="1"/>
    </xf>
    <xf numFmtId="177" fontId="12" fillId="0" borderId="19" xfId="34" applyNumberFormat="1" applyFont="1" applyFill="1" applyBorder="1" applyAlignment="1">
      <alignment horizontal="left" vertical="center" wrapText="1" indent="1"/>
    </xf>
    <xf numFmtId="177" fontId="9" fillId="0" borderId="0" xfId="3" applyNumberFormat="1" applyFont="1" applyFill="1" applyBorder="1" applyAlignment="1">
      <alignment horizontal="left" indent="1"/>
    </xf>
    <xf numFmtId="177" fontId="12" fillId="0" borderId="19" xfId="46" applyNumberFormat="1" applyFont="1" applyFill="1" applyBorder="1" applyAlignment="1">
      <alignment horizontal="left" vertical="center" wrapText="1" indent="1"/>
    </xf>
    <xf numFmtId="184" fontId="11" fillId="0" borderId="19" xfId="46" applyNumberFormat="1" applyFont="1" applyFill="1" applyBorder="1" applyAlignment="1">
      <alignment horizontal="right" vertical="center" wrapText="1" indent="1"/>
    </xf>
    <xf numFmtId="184" fontId="11" fillId="0" borderId="7" xfId="34" applyNumberFormat="1" applyFont="1" applyFill="1" applyBorder="1" applyAlignment="1">
      <alignment horizontal="right" vertical="center" wrapText="1" indent="1"/>
    </xf>
    <xf numFmtId="184" fontId="11" fillId="0" borderId="1" xfId="34" applyNumberFormat="1" applyFont="1" applyFill="1" applyBorder="1" applyAlignment="1">
      <alignment horizontal="right" vertical="center" wrapText="1" indent="1"/>
    </xf>
    <xf numFmtId="184" fontId="11" fillId="0" borderId="14" xfId="9" applyNumberFormat="1" applyFont="1" applyFill="1" applyBorder="1" applyAlignment="1">
      <alignment horizontal="right" vertical="center" wrapText="1" indent="1"/>
    </xf>
    <xf numFmtId="184" fontId="11" fillId="0" borderId="19" xfId="9" applyNumberFormat="1" applyFont="1" applyFill="1" applyBorder="1" applyAlignment="1">
      <alignment horizontal="right" vertical="center" wrapText="1" indent="1"/>
    </xf>
    <xf numFmtId="184" fontId="9" fillId="0" borderId="0" xfId="3" applyNumberFormat="1" applyFont="1" applyFill="1" applyBorder="1" applyAlignment="1">
      <alignment horizontal="right" vertical="center" indent="1"/>
    </xf>
    <xf numFmtId="184" fontId="11" fillId="0" borderId="7" xfId="34" applyNumberFormat="1" applyFont="1" applyFill="1" applyBorder="1" applyAlignment="1">
      <alignment horizontal="right" vertical="center" wrapText="1"/>
    </xf>
    <xf numFmtId="184" fontId="11" fillId="0" borderId="1" xfId="34" applyNumberFormat="1" applyFont="1" applyFill="1" applyBorder="1" applyAlignment="1">
      <alignment horizontal="right" vertical="center" wrapText="1"/>
    </xf>
    <xf numFmtId="184" fontId="11" fillId="0" borderId="14" xfId="9" applyNumberFormat="1" applyFont="1" applyFill="1" applyBorder="1" applyAlignment="1">
      <alignment horizontal="right" vertical="center" wrapText="1"/>
    </xf>
    <xf numFmtId="184" fontId="11" fillId="0" borderId="19" xfId="9" applyNumberFormat="1" applyFont="1" applyFill="1" applyBorder="1" applyAlignment="1">
      <alignment horizontal="right" vertical="center" wrapText="1"/>
    </xf>
    <xf numFmtId="184" fontId="9" fillId="0" borderId="0" xfId="3" applyNumberFormat="1" applyFont="1" applyFill="1" applyBorder="1"/>
    <xf numFmtId="184" fontId="11" fillId="0" borderId="9" xfId="34" applyNumberFormat="1" applyFont="1" applyFill="1" applyBorder="1" applyAlignment="1">
      <alignment horizontal="right" vertical="center" wrapText="1"/>
    </xf>
    <xf numFmtId="184" fontId="11" fillId="0" borderId="19" xfId="34" applyNumberFormat="1" applyFont="1" applyFill="1" applyBorder="1" applyAlignment="1">
      <alignment horizontal="right" vertical="center" wrapText="1"/>
    </xf>
    <xf numFmtId="184" fontId="16" fillId="0" borderId="19" xfId="46" applyNumberFormat="1" applyFont="1" applyFill="1" applyBorder="1" applyAlignment="1">
      <alignment horizontal="right" vertical="center" wrapText="1" indent="1"/>
    </xf>
    <xf numFmtId="183" fontId="11" fillId="0" borderId="14" xfId="9" applyNumberFormat="1" applyFont="1" applyFill="1" applyBorder="1" applyAlignment="1">
      <alignment horizontal="right" vertical="center" wrapText="1"/>
    </xf>
    <xf numFmtId="183" fontId="11" fillId="0" borderId="19" xfId="9" applyNumberFormat="1" applyFont="1" applyFill="1" applyBorder="1" applyAlignment="1">
      <alignment horizontal="right" vertical="center" wrapText="1"/>
    </xf>
    <xf numFmtId="183" fontId="16" fillId="0" borderId="14" xfId="9" applyNumberFormat="1" applyFont="1" applyFill="1" applyBorder="1" applyAlignment="1">
      <alignment horizontal="right" vertical="center" wrapText="1"/>
    </xf>
    <xf numFmtId="183" fontId="16" fillId="0" borderId="19" xfId="9" applyNumberFormat="1" applyFont="1" applyFill="1" applyBorder="1" applyAlignment="1">
      <alignment horizontal="right" vertical="center" wrapText="1"/>
    </xf>
    <xf numFmtId="183" fontId="11" fillId="0" borderId="7" xfId="3" applyNumberFormat="1" applyFont="1" applyFill="1" applyBorder="1" applyAlignment="1">
      <alignment vertical="center" wrapText="1"/>
    </xf>
    <xf numFmtId="183" fontId="11" fillId="0" borderId="1" xfId="3" applyNumberFormat="1" applyFont="1" applyFill="1" applyBorder="1" applyAlignment="1">
      <alignment vertical="center" wrapText="1"/>
    </xf>
    <xf numFmtId="183" fontId="11" fillId="0" borderId="14" xfId="3" applyNumberFormat="1" applyFont="1" applyFill="1" applyBorder="1" applyAlignment="1">
      <alignment horizontal="right" vertical="center" wrapText="1"/>
    </xf>
    <xf numFmtId="183" fontId="11" fillId="0" borderId="19" xfId="3" applyNumberFormat="1" applyFont="1" applyFill="1" applyBorder="1" applyAlignment="1">
      <alignment horizontal="right" vertical="center" wrapText="1"/>
    </xf>
    <xf numFmtId="183" fontId="11" fillId="0" borderId="9" xfId="34" applyNumberFormat="1" applyFont="1" applyFill="1" applyBorder="1" applyAlignment="1">
      <alignment horizontal="right" vertical="center" wrapText="1"/>
    </xf>
    <xf numFmtId="183" fontId="9" fillId="0" borderId="0" xfId="3" applyNumberFormat="1" applyFont="1" applyFill="1" applyBorder="1" applyAlignment="1"/>
    <xf numFmtId="185" fontId="9" fillId="0" borderId="0" xfId="3" applyNumberFormat="1" applyFont="1" applyFill="1" applyBorder="1"/>
    <xf numFmtId="185" fontId="12" fillId="0" borderId="14" xfId="34" applyNumberFormat="1" applyFont="1" applyFill="1" applyBorder="1" applyAlignment="1">
      <alignment horizontal="right" vertical="center" wrapText="1"/>
    </xf>
    <xf numFmtId="185" fontId="12" fillId="0" borderId="19" xfId="34" applyNumberFormat="1" applyFont="1" applyFill="1" applyBorder="1" applyAlignment="1">
      <alignment horizontal="right" vertical="center" wrapText="1"/>
    </xf>
    <xf numFmtId="185" fontId="12" fillId="0" borderId="7" xfId="34" applyNumberFormat="1" applyFont="1" applyFill="1" applyBorder="1" applyAlignment="1">
      <alignment horizontal="right" vertical="center" wrapText="1"/>
    </xf>
    <xf numFmtId="185" fontId="12" fillId="0" borderId="1" xfId="34" applyNumberFormat="1" applyFont="1" applyFill="1" applyBorder="1" applyAlignment="1">
      <alignment horizontal="right" vertical="center" wrapText="1"/>
    </xf>
    <xf numFmtId="185" fontId="21" fillId="0" borderId="0" xfId="3" applyNumberFormat="1" applyFont="1" applyFill="1" applyBorder="1"/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3" fillId="0" borderId="19" xfId="46" applyNumberFormat="1" applyFont="1" applyFill="1" applyBorder="1" applyAlignment="1">
      <alignment vertical="center" wrapText="1"/>
    </xf>
    <xf numFmtId="183" fontId="13" fillId="0" borderId="7" xfId="34" applyNumberFormat="1" applyFont="1" applyFill="1" applyBorder="1" applyAlignment="1">
      <alignment horizontal="right" vertical="center" wrapText="1"/>
    </xf>
    <xf numFmtId="183" fontId="13" fillId="0" borderId="1" xfId="34" applyNumberFormat="1" applyFont="1" applyFill="1" applyBorder="1" applyAlignment="1">
      <alignment horizontal="right" vertical="center" wrapText="1"/>
    </xf>
    <xf numFmtId="183" fontId="13" fillId="0" borderId="14" xfId="34" applyNumberFormat="1" applyFont="1" applyFill="1" applyBorder="1" applyAlignment="1">
      <alignment horizontal="right" vertical="center" wrapText="1"/>
    </xf>
    <xf numFmtId="183" fontId="13" fillId="0" borderId="19" xfId="34" applyNumberFormat="1" applyFont="1" applyFill="1" applyBorder="1" applyAlignment="1">
      <alignment horizontal="right" vertical="center" wrapText="1"/>
    </xf>
    <xf numFmtId="183" fontId="13" fillId="0" borderId="19" xfId="46" applyNumberFormat="1" applyFont="1" applyFill="1" applyBorder="1" applyAlignment="1">
      <alignment horizontal="right" vertical="center" wrapText="1" indent="1"/>
    </xf>
    <xf numFmtId="183" fontId="97" fillId="0" borderId="7" xfId="34" applyNumberFormat="1" applyFont="1" applyFill="1" applyBorder="1" applyAlignment="1">
      <alignment horizontal="right" vertical="center" wrapText="1"/>
    </xf>
    <xf numFmtId="183" fontId="97" fillId="0" borderId="1" xfId="34" applyNumberFormat="1" applyFont="1" applyFill="1" applyBorder="1" applyAlignment="1">
      <alignment horizontal="right" vertical="center" wrapText="1"/>
    </xf>
    <xf numFmtId="183" fontId="97" fillId="0" borderId="14" xfId="34" applyNumberFormat="1" applyFont="1" applyFill="1" applyBorder="1" applyAlignment="1">
      <alignment horizontal="right" vertical="center" wrapText="1"/>
    </xf>
    <xf numFmtId="183" fontId="97" fillId="0" borderId="19" xfId="34" applyNumberFormat="1" applyFont="1" applyFill="1" applyBorder="1" applyAlignment="1">
      <alignment horizontal="right" vertical="center" wrapText="1"/>
    </xf>
    <xf numFmtId="183" fontId="12" fillId="0" borderId="7" xfId="34" applyNumberFormat="1" applyFont="1" applyFill="1" applyBorder="1" applyAlignment="1">
      <alignment horizontal="left" vertical="center" wrapText="1"/>
    </xf>
    <xf numFmtId="183" fontId="12" fillId="0" borderId="1" xfId="34" applyNumberFormat="1" applyFont="1" applyFill="1" applyBorder="1" applyAlignment="1">
      <alignment horizontal="left" vertical="center" wrapText="1"/>
    </xf>
    <xf numFmtId="183" fontId="9" fillId="0" borderId="0" xfId="3" applyNumberFormat="1" applyFont="1" applyFill="1" applyBorder="1" applyAlignment="1">
      <alignment horizontal="left" vertical="center"/>
    </xf>
    <xf numFmtId="183" fontId="9" fillId="0" borderId="0" xfId="3" applyNumberFormat="1" applyFont="1" applyFill="1" applyBorder="1" applyAlignment="1">
      <alignment horizontal="center" vertical="center"/>
    </xf>
    <xf numFmtId="183" fontId="12" fillId="0" borderId="14" xfId="3" applyNumberFormat="1" applyFont="1" applyFill="1" applyBorder="1" applyAlignment="1">
      <alignment horizontal="right"/>
    </xf>
    <xf numFmtId="183" fontId="12" fillId="0" borderId="19" xfId="3" applyNumberFormat="1" applyFont="1" applyFill="1" applyBorder="1" applyAlignment="1">
      <alignment horizontal="right"/>
    </xf>
    <xf numFmtId="183" fontId="11" fillId="0" borderId="18" xfId="3" applyNumberFormat="1" applyFont="1" applyFill="1" applyBorder="1" applyAlignment="1">
      <alignment horizontal="right" vertical="center" wrapText="1"/>
    </xf>
    <xf numFmtId="183" fontId="11" fillId="0" borderId="10" xfId="3" applyNumberFormat="1" applyFont="1" applyFill="1" applyBorder="1" applyAlignment="1">
      <alignment horizontal="right" vertical="center" wrapText="1"/>
    </xf>
    <xf numFmtId="183" fontId="11" fillId="0" borderId="71" xfId="3" applyNumberFormat="1" applyFont="1" applyFill="1" applyBorder="1" applyAlignment="1">
      <alignment horizontal="right" vertical="center" wrapText="1"/>
    </xf>
    <xf numFmtId="183" fontId="11" fillId="0" borderId="0" xfId="34" applyNumberFormat="1" applyFont="1" applyFill="1" applyBorder="1" applyAlignment="1">
      <alignment horizontal="right" vertical="center" wrapText="1" indent="1"/>
    </xf>
    <xf numFmtId="183" fontId="11" fillId="0" borderId="14" xfId="34" applyNumberFormat="1" applyFont="1" applyFill="1" applyBorder="1" applyAlignment="1">
      <alignment horizontal="right" vertical="center" wrapText="1" indent="1"/>
    </xf>
    <xf numFmtId="183" fontId="11" fillId="0" borderId="19" xfId="34" applyNumberFormat="1" applyFont="1" applyFill="1" applyBorder="1" applyAlignment="1">
      <alignment horizontal="right" vertical="center" wrapText="1" indent="1"/>
    </xf>
    <xf numFmtId="183" fontId="19" fillId="0" borderId="0" xfId="3" applyNumberFormat="1" applyFont="1" applyFill="1" applyBorder="1" applyAlignment="1">
      <alignment horizontal="right" vertical="center" indent="1"/>
    </xf>
    <xf numFmtId="183" fontId="11" fillId="0" borderId="0" xfId="34" applyNumberFormat="1" applyFont="1" applyFill="1" applyBorder="1" applyAlignment="1">
      <alignment horizontal="right" vertical="center" wrapText="1"/>
    </xf>
    <xf numFmtId="183" fontId="12" fillId="0" borderId="14" xfId="24" applyNumberFormat="1" applyFont="1" applyFill="1" applyBorder="1" applyAlignment="1">
      <alignment horizontal="right"/>
    </xf>
    <xf numFmtId="183" fontId="12" fillId="0" borderId="19" xfId="24" applyNumberFormat="1" applyFont="1" applyFill="1" applyBorder="1" applyAlignment="1">
      <alignment horizontal="right"/>
    </xf>
    <xf numFmtId="183" fontId="9" fillId="0" borderId="0" xfId="3" applyNumberFormat="1" applyFont="1" applyFill="1"/>
    <xf numFmtId="183" fontId="19" fillId="0" borderId="0" xfId="3" applyNumberFormat="1" applyFont="1" applyFill="1" applyBorder="1" applyAlignment="1">
      <alignment horizontal="right"/>
    </xf>
    <xf numFmtId="183" fontId="19" fillId="0" borderId="72" xfId="3" applyNumberFormat="1" applyFont="1" applyFill="1" applyBorder="1" applyAlignment="1">
      <alignment horizontal="right"/>
    </xf>
    <xf numFmtId="183" fontId="9" fillId="0" borderId="0" xfId="3" applyNumberFormat="1" applyFont="1" applyFill="1" applyBorder="1" applyAlignment="1">
      <alignment horizontal="right"/>
    </xf>
    <xf numFmtId="183" fontId="9" fillId="0" borderId="72" xfId="3" applyNumberFormat="1" applyFont="1" applyFill="1" applyBorder="1" applyAlignment="1">
      <alignment horizontal="right"/>
    </xf>
    <xf numFmtId="183" fontId="12" fillId="0" borderId="7" xfId="3" applyNumberFormat="1" applyFont="1" applyFill="1" applyBorder="1" applyAlignment="1">
      <alignment horizontal="right" vertical="center" wrapText="1"/>
    </xf>
    <xf numFmtId="183" fontId="12" fillId="0" borderId="13" xfId="3" applyNumberFormat="1" applyFont="1" applyFill="1" applyBorder="1" applyAlignment="1">
      <alignment horizontal="right" vertical="center" wrapText="1"/>
    </xf>
    <xf numFmtId="183" fontId="12" fillId="0" borderId="19" xfId="3" applyNumberFormat="1" applyFont="1" applyFill="1" applyBorder="1" applyAlignment="1">
      <alignment horizontal="right" vertical="center" wrapText="1"/>
    </xf>
    <xf numFmtId="183" fontId="16" fillId="0" borderId="71" xfId="34" applyNumberFormat="1" applyFont="1" applyFill="1" applyBorder="1" applyAlignment="1">
      <alignment horizontal="right" vertical="center" wrapText="1" indent="1"/>
    </xf>
    <xf numFmtId="183" fontId="12" fillId="0" borderId="7" xfId="3" applyNumberFormat="1" applyFont="1" applyFill="1" applyBorder="1" applyAlignment="1">
      <alignment horizontal="right" vertical="center" wrapText="1" indent="1"/>
    </xf>
    <xf numFmtId="183" fontId="12" fillId="0" borderId="13" xfId="3" applyNumberFormat="1" applyFont="1" applyFill="1" applyBorder="1" applyAlignment="1">
      <alignment horizontal="right" vertical="center" wrapText="1" indent="1"/>
    </xf>
    <xf numFmtId="183" fontId="12" fillId="0" borderId="19" xfId="3" applyNumberFormat="1" applyFont="1" applyFill="1" applyBorder="1" applyAlignment="1">
      <alignment horizontal="right" vertical="center" wrapText="1" indent="1"/>
    </xf>
    <xf numFmtId="183" fontId="13" fillId="0" borderId="9" xfId="34" applyNumberFormat="1" applyFont="1" applyFill="1" applyBorder="1" applyAlignment="1">
      <alignment horizontal="right" vertical="center" wrapText="1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2" fillId="0" borderId="19" xfId="24" applyNumberFormat="1" applyFont="1" applyFill="1" applyBorder="1" applyAlignment="1">
      <alignment horizontal="right" indent="1"/>
    </xf>
    <xf numFmtId="183" fontId="12" fillId="0" borderId="9" xfId="24" applyNumberFormat="1" applyFont="1" applyFill="1" applyBorder="1" applyAlignment="1">
      <alignment horizontal="right" indent="1"/>
    </xf>
    <xf numFmtId="183" fontId="12" fillId="0" borderId="71" xfId="24" applyNumberFormat="1" applyFont="1" applyFill="1" applyBorder="1" applyAlignment="1">
      <alignment horizontal="right" indent="1"/>
    </xf>
    <xf numFmtId="183" fontId="12" fillId="0" borderId="6" xfId="24" applyNumberFormat="1" applyFont="1" applyFill="1" applyBorder="1" applyAlignment="1">
      <alignment horizontal="right" indent="1"/>
    </xf>
    <xf numFmtId="183" fontId="13" fillId="0" borderId="7" xfId="3" applyNumberFormat="1" applyFont="1" applyFill="1" applyBorder="1" applyAlignment="1">
      <alignment horizontal="right" vertical="center" wrapText="1"/>
    </xf>
    <xf numFmtId="183" fontId="13" fillId="0" borderId="13" xfId="3" applyNumberFormat="1" applyFont="1" applyFill="1" applyBorder="1" applyAlignment="1">
      <alignment horizontal="right" vertical="center" wrapText="1"/>
    </xf>
    <xf numFmtId="183" fontId="13" fillId="0" borderId="19" xfId="3" applyNumberFormat="1" applyFont="1" applyFill="1" applyBorder="1" applyAlignment="1">
      <alignment horizontal="right" vertical="center" wrapText="1"/>
    </xf>
    <xf numFmtId="183" fontId="12" fillId="0" borderId="7" xfId="3" applyNumberFormat="1" applyFont="1" applyFill="1" applyBorder="1" applyAlignment="1">
      <alignment vertical="center" wrapText="1"/>
    </xf>
    <xf numFmtId="183" fontId="12" fillId="0" borderId="13" xfId="3" applyNumberFormat="1" applyFont="1" applyFill="1" applyBorder="1" applyAlignment="1">
      <alignment vertical="center" wrapText="1"/>
    </xf>
    <xf numFmtId="183" fontId="12" fillId="0" borderId="19" xfId="3" applyNumberFormat="1" applyFont="1" applyFill="1" applyBorder="1" applyAlignment="1">
      <alignment vertical="center" wrapText="1"/>
    </xf>
    <xf numFmtId="183" fontId="9" fillId="0" borderId="0" xfId="3" applyNumberFormat="1" applyFont="1" applyFill="1" applyBorder="1" applyAlignment="1">
      <alignment vertical="center" wrapText="1"/>
    </xf>
    <xf numFmtId="183" fontId="11" fillId="0" borderId="7" xfId="34" applyNumberFormat="1" applyFont="1" applyFill="1" applyBorder="1" applyAlignment="1">
      <alignment vertical="center" wrapText="1"/>
    </xf>
    <xf numFmtId="183" fontId="11" fillId="0" borderId="1" xfId="34" applyNumberFormat="1" applyFont="1" applyFill="1" applyBorder="1" applyAlignment="1">
      <alignment vertical="center" wrapText="1"/>
    </xf>
    <xf numFmtId="183" fontId="11" fillId="0" borderId="0" xfId="3" applyNumberFormat="1" applyFont="1" applyFill="1" applyBorder="1" applyAlignment="1">
      <alignment horizontal="center" vertical="center" wrapText="1"/>
    </xf>
    <xf numFmtId="183" fontId="11" fillId="0" borderId="18" xfId="34" applyNumberFormat="1" applyFont="1" applyFill="1" applyBorder="1" applyAlignment="1">
      <alignment vertical="center" wrapText="1"/>
    </xf>
    <xf numFmtId="183" fontId="16" fillId="0" borderId="10" xfId="34" applyNumberFormat="1" applyFont="1" applyFill="1" applyBorder="1" applyAlignment="1">
      <alignment horizontal="right" vertical="center" wrapText="1"/>
    </xf>
    <xf numFmtId="183" fontId="16" fillId="0" borderId="71" xfId="34" applyNumberFormat="1" applyFont="1" applyFill="1" applyBorder="1" applyAlignment="1">
      <alignment horizontal="right" vertical="center" wrapText="1"/>
    </xf>
    <xf numFmtId="183" fontId="11" fillId="0" borderId="10" xfId="34" applyNumberFormat="1" applyFont="1" applyFill="1" applyBorder="1" applyAlignment="1">
      <alignment horizontal="right" vertical="center" wrapText="1"/>
    </xf>
    <xf numFmtId="183" fontId="13" fillId="0" borderId="18" xfId="3" applyNumberFormat="1" applyFont="1" applyFill="1" applyBorder="1" applyAlignment="1">
      <alignment horizontal="right" vertical="center" wrapText="1"/>
    </xf>
    <xf numFmtId="183" fontId="13" fillId="0" borderId="10" xfId="3" applyNumberFormat="1" applyFont="1" applyFill="1" applyBorder="1" applyAlignment="1">
      <alignment horizontal="right" vertical="center" wrapText="1"/>
    </xf>
    <xf numFmtId="183" fontId="13" fillId="0" borderId="71" xfId="3" applyNumberFormat="1" applyFont="1" applyFill="1" applyBorder="1" applyAlignment="1">
      <alignment horizontal="right" vertical="center" wrapText="1"/>
    </xf>
    <xf numFmtId="183" fontId="13" fillId="0" borderId="7" xfId="34" applyNumberFormat="1" applyFont="1" applyFill="1" applyBorder="1" applyAlignment="1">
      <alignment horizontal="right"/>
    </xf>
    <xf numFmtId="183" fontId="13" fillId="0" borderId="1" xfId="34" applyNumberFormat="1" applyFont="1" applyFill="1" applyBorder="1" applyAlignment="1">
      <alignment horizontal="right"/>
    </xf>
    <xf numFmtId="183" fontId="13" fillId="0" borderId="14" xfId="34" applyNumberFormat="1" applyFont="1" applyFill="1" applyBorder="1" applyAlignment="1">
      <alignment horizontal="right"/>
    </xf>
    <xf numFmtId="183" fontId="13" fillId="0" borderId="19" xfId="34" applyNumberFormat="1" applyFont="1" applyFill="1" applyBorder="1" applyAlignment="1">
      <alignment horizontal="right"/>
    </xf>
    <xf numFmtId="183" fontId="12" fillId="0" borderId="7" xfId="34" applyNumberFormat="1" applyFont="1" applyFill="1" applyBorder="1" applyAlignment="1">
      <alignment horizontal="right"/>
    </xf>
    <xf numFmtId="183" fontId="12" fillId="0" borderId="1" xfId="34" applyNumberFormat="1" applyFont="1" applyFill="1" applyBorder="1" applyAlignment="1">
      <alignment horizontal="right"/>
    </xf>
    <xf numFmtId="183" fontId="12" fillId="0" borderId="14" xfId="34" applyNumberFormat="1" applyFont="1" applyFill="1" applyBorder="1" applyAlignment="1">
      <alignment horizontal="right"/>
    </xf>
    <xf numFmtId="183" fontId="12" fillId="0" borderId="19" xfId="34" applyNumberFormat="1" applyFont="1" applyFill="1" applyBorder="1" applyAlignment="1">
      <alignment horizontal="right"/>
    </xf>
    <xf numFmtId="183" fontId="16" fillId="0" borderId="30" xfId="34" applyNumberFormat="1" applyFont="1" applyFill="1" applyBorder="1" applyAlignment="1">
      <alignment horizontal="right" vertical="center" wrapText="1"/>
    </xf>
    <xf numFmtId="183" fontId="11" fillId="0" borderId="13" xfId="34" applyNumberFormat="1" applyFont="1" applyFill="1" applyBorder="1" applyAlignment="1">
      <alignment horizontal="right" vertical="center" wrapText="1"/>
    </xf>
    <xf numFmtId="183" fontId="13" fillId="0" borderId="30" xfId="34" applyNumberFormat="1" applyFont="1" applyFill="1" applyBorder="1" applyAlignment="1"/>
    <xf numFmtId="183" fontId="13" fillId="0" borderId="71" xfId="34" applyNumberFormat="1" applyFont="1" applyFill="1" applyBorder="1" applyAlignment="1"/>
    <xf numFmtId="183" fontId="11" fillId="0" borderId="14" xfId="34" applyNumberFormat="1" applyFont="1" applyFill="1" applyBorder="1" applyAlignment="1">
      <alignment vertical="center" wrapText="1"/>
    </xf>
    <xf numFmtId="183" fontId="11" fillId="0" borderId="19" xfId="34" applyNumberFormat="1" applyFont="1" applyFill="1" applyBorder="1" applyAlignment="1">
      <alignment vertical="center" wrapText="1"/>
    </xf>
    <xf numFmtId="183" fontId="12" fillId="0" borderId="14" xfId="34" applyNumberFormat="1" applyFont="1" applyFill="1" applyBorder="1" applyAlignment="1"/>
    <xf numFmtId="183" fontId="12" fillId="0" borderId="19" xfId="34" applyNumberFormat="1" applyFont="1" applyFill="1" applyBorder="1" applyAlignment="1"/>
    <xf numFmtId="183" fontId="16" fillId="0" borderId="30" xfId="34" applyNumberFormat="1" applyFont="1" applyFill="1" applyBorder="1" applyAlignment="1">
      <alignment vertical="center" wrapText="1"/>
    </xf>
    <xf numFmtId="183" fontId="16" fillId="0" borderId="71" xfId="34" applyNumberFormat="1" applyFont="1" applyFill="1" applyBorder="1" applyAlignment="1">
      <alignment vertical="center" wrapText="1"/>
    </xf>
    <xf numFmtId="183" fontId="16" fillId="0" borderId="13" xfId="34" applyNumberFormat="1" applyFont="1" applyFill="1" applyBorder="1" applyAlignment="1">
      <alignment vertical="center" wrapText="1"/>
    </xf>
    <xf numFmtId="183" fontId="16" fillId="0" borderId="19" xfId="34" applyNumberFormat="1" applyFont="1" applyFill="1" applyBorder="1" applyAlignment="1">
      <alignment vertical="center" wrapText="1"/>
    </xf>
    <xf numFmtId="183" fontId="11" fillId="0" borderId="13" xfId="34" applyNumberFormat="1" applyFont="1" applyFill="1" applyBorder="1" applyAlignment="1">
      <alignment vertical="center" wrapText="1"/>
    </xf>
    <xf numFmtId="185" fontId="12" fillId="0" borderId="7" xfId="3" applyNumberFormat="1" applyFont="1" applyFill="1" applyBorder="1" applyAlignment="1">
      <alignment horizontal="right" vertical="center" wrapText="1"/>
    </xf>
    <xf numFmtId="185" fontId="13" fillId="0" borderId="13" xfId="3" applyNumberFormat="1" applyFont="1" applyFill="1" applyBorder="1" applyAlignment="1">
      <alignment horizontal="right" vertical="center" wrapText="1"/>
    </xf>
    <xf numFmtId="185" fontId="13" fillId="0" borderId="19" xfId="3" applyNumberFormat="1" applyFont="1" applyFill="1" applyBorder="1" applyAlignment="1">
      <alignment horizontal="right" vertical="center" wrapText="1"/>
    </xf>
    <xf numFmtId="185" fontId="12" fillId="0" borderId="13" xfId="3" applyNumberFormat="1" applyFont="1" applyFill="1" applyBorder="1" applyAlignment="1">
      <alignment horizontal="right" vertical="center" wrapText="1"/>
    </xf>
    <xf numFmtId="185" fontId="12" fillId="0" borderId="19" xfId="3" applyNumberFormat="1" applyFont="1" applyFill="1" applyBorder="1" applyAlignment="1">
      <alignment horizontal="right" vertical="center" wrapText="1"/>
    </xf>
    <xf numFmtId="185" fontId="11" fillId="0" borderId="59" xfId="34" applyNumberFormat="1" applyFont="1" applyFill="1" applyBorder="1" applyAlignment="1">
      <alignment horizontal="right" vertical="center" wrapText="1"/>
    </xf>
    <xf numFmtId="185" fontId="11" fillId="0" borderId="4" xfId="34" applyNumberFormat="1" applyFont="1" applyFill="1" applyBorder="1" applyAlignment="1">
      <alignment horizontal="right" vertical="center" wrapText="1"/>
    </xf>
    <xf numFmtId="185" fontId="11" fillId="0" borderId="74" xfId="34" applyNumberFormat="1" applyFont="1" applyFill="1" applyBorder="1" applyAlignment="1">
      <alignment horizontal="right" vertical="center" wrapText="1"/>
    </xf>
    <xf numFmtId="185" fontId="11" fillId="0" borderId="66" xfId="34" applyNumberFormat="1" applyFont="1" applyFill="1" applyBorder="1" applyAlignment="1">
      <alignment horizontal="right" vertical="center" wrapText="1"/>
    </xf>
    <xf numFmtId="174" fontId="77" fillId="0" borderId="72" xfId="5" applyNumberFormat="1" applyFont="1" applyFill="1" applyBorder="1" applyAlignment="1">
      <alignment horizontal="right" vertical="center" wrapText="1"/>
    </xf>
    <xf numFmtId="174" fontId="14" fillId="0" borderId="15" xfId="5" applyNumberFormat="1" applyFont="1" applyFill="1" applyBorder="1" applyAlignment="1">
      <alignment horizontal="right" vertical="center" wrapText="1"/>
    </xf>
    <xf numFmtId="174" fontId="14" fillId="0" borderId="23" xfId="5" applyNumberFormat="1" applyFont="1" applyFill="1" applyBorder="1" applyAlignment="1">
      <alignment horizontal="right" vertical="center" wrapText="1"/>
    </xf>
    <xf numFmtId="174" fontId="9" fillId="0" borderId="0" xfId="3" applyNumberFormat="1" applyFont="1" applyFill="1" applyBorder="1"/>
    <xf numFmtId="174" fontId="77" fillId="0" borderId="37" xfId="5" applyNumberFormat="1" applyFont="1" applyFill="1" applyBorder="1" applyAlignment="1">
      <alignment horizontal="right" vertical="center" wrapText="1"/>
    </xf>
    <xf numFmtId="174" fontId="77" fillId="0" borderId="67" xfId="5" applyNumberFormat="1" applyFont="1" applyFill="1" applyBorder="1" applyAlignment="1">
      <alignment horizontal="right" vertical="center" wrapText="1"/>
    </xf>
    <xf numFmtId="174" fontId="42" fillId="0" borderId="60" xfId="5" applyNumberFormat="1" applyFont="1" applyFill="1" applyBorder="1" applyAlignment="1">
      <alignment horizontal="right" vertical="center" wrapText="1"/>
    </xf>
    <xf numFmtId="174" fontId="42" fillId="0" borderId="31" xfId="5" applyNumberFormat="1" applyFont="1" applyFill="1" applyBorder="1" applyAlignment="1">
      <alignment horizontal="right" vertical="center" wrapText="1"/>
    </xf>
    <xf numFmtId="174" fontId="77" fillId="0" borderId="31" xfId="5" applyNumberFormat="1" applyFont="1" applyFill="1" applyBorder="1" applyAlignment="1">
      <alignment horizontal="right" vertical="center" wrapText="1"/>
    </xf>
    <xf numFmtId="174" fontId="42" fillId="0" borderId="32" xfId="5" applyNumberFormat="1" applyFont="1" applyFill="1" applyBorder="1" applyAlignment="1">
      <alignment horizontal="right" vertical="center" wrapText="1"/>
    </xf>
    <xf numFmtId="174" fontId="77" fillId="0" borderId="71" xfId="5" applyNumberFormat="1" applyFont="1" applyFill="1" applyBorder="1" applyAlignment="1">
      <alignment horizontal="right" vertical="center" wrapText="1"/>
    </xf>
    <xf numFmtId="174" fontId="42" fillId="0" borderId="18" xfId="5" applyNumberFormat="1" applyFont="1" applyFill="1" applyBorder="1" applyAlignment="1">
      <alignment horizontal="right" vertical="center" wrapText="1"/>
    </xf>
    <xf numFmtId="174" fontId="42" fillId="0" borderId="2" xfId="5" applyNumberFormat="1" applyFont="1" applyFill="1" applyBorder="1" applyAlignment="1">
      <alignment horizontal="right" vertical="center" wrapText="1"/>
    </xf>
    <xf numFmtId="174" fontId="86" fillId="0" borderId="0" xfId="3" applyNumberFormat="1" applyFont="1" applyFill="1" applyBorder="1"/>
    <xf numFmtId="174" fontId="77" fillId="0" borderId="20" xfId="5" applyNumberFormat="1" applyFont="1" applyFill="1" applyBorder="1" applyAlignment="1">
      <alignment horizontal="right" vertical="center" wrapText="1"/>
    </xf>
    <xf numFmtId="174" fontId="77" fillId="0" borderId="19" xfId="5" applyNumberFormat="1" applyFont="1" applyFill="1" applyBorder="1" applyAlignment="1">
      <alignment horizontal="right" vertical="center"/>
    </xf>
    <xf numFmtId="174" fontId="42" fillId="0" borderId="7" xfId="5" applyNumberFormat="1" applyFont="1" applyFill="1" applyBorder="1" applyAlignment="1">
      <alignment horizontal="right" vertical="center"/>
    </xf>
    <xf numFmtId="174" fontId="42" fillId="0" borderId="1" xfId="5" applyNumberFormat="1" applyFont="1" applyFill="1" applyBorder="1" applyAlignment="1">
      <alignment horizontal="right" vertical="center"/>
    </xf>
    <xf numFmtId="174" fontId="77" fillId="0" borderId="9" xfId="5" applyNumberFormat="1" applyFont="1" applyFill="1" applyBorder="1" applyAlignment="1">
      <alignment horizontal="right" vertical="center"/>
    </xf>
    <xf numFmtId="174" fontId="18" fillId="0" borderId="19" xfId="5" applyNumberFormat="1" applyFont="1" applyFill="1" applyBorder="1" applyAlignment="1">
      <alignment horizontal="right" vertical="center"/>
    </xf>
    <xf numFmtId="174" fontId="40" fillId="0" borderId="7" xfId="5" applyNumberFormat="1" applyFont="1" applyFill="1" applyBorder="1" applyAlignment="1">
      <alignment horizontal="right" vertical="center"/>
    </xf>
    <xf numFmtId="174" fontId="40" fillId="0" borderId="1" xfId="5" applyNumberFormat="1" applyFont="1" applyFill="1" applyBorder="1" applyAlignment="1">
      <alignment horizontal="right" vertical="center"/>
    </xf>
    <xf numFmtId="174" fontId="18" fillId="0" borderId="9" xfId="5" applyNumberFormat="1" applyFont="1" applyFill="1" applyBorder="1" applyAlignment="1">
      <alignment horizontal="right" vertical="center"/>
    </xf>
    <xf numFmtId="174" fontId="40" fillId="0" borderId="9" xfId="5" applyNumberFormat="1" applyFont="1" applyFill="1" applyBorder="1" applyAlignment="1">
      <alignment horizontal="right" vertical="center"/>
    </xf>
    <xf numFmtId="174" fontId="18" fillId="0" borderId="19" xfId="34" applyNumberFormat="1" applyFont="1" applyFill="1" applyBorder="1" applyAlignment="1">
      <alignment horizontal="right" vertical="center" wrapText="1"/>
    </xf>
    <xf numFmtId="174" fontId="48" fillId="0" borderId="0" xfId="3" applyNumberFormat="1" applyFont="1" applyFill="1" applyBorder="1"/>
    <xf numFmtId="174" fontId="18" fillId="0" borderId="9" xfId="34" applyNumberFormat="1" applyFont="1" applyFill="1" applyBorder="1" applyAlignment="1">
      <alignment horizontal="right" vertical="center" wrapText="1"/>
    </xf>
    <xf numFmtId="174" fontId="40" fillId="0" borderId="14" xfId="5" applyNumberFormat="1" applyFont="1" applyFill="1" applyBorder="1" applyAlignment="1">
      <alignment horizontal="right" vertical="center"/>
    </xf>
    <xf numFmtId="174" fontId="42" fillId="0" borderId="9" xfId="5" applyNumberFormat="1" applyFont="1" applyFill="1" applyBorder="1" applyAlignment="1">
      <alignment horizontal="right" vertical="center"/>
    </xf>
    <xf numFmtId="174" fontId="18" fillId="0" borderId="70" xfId="5" applyNumberFormat="1" applyFont="1" applyFill="1" applyBorder="1" applyAlignment="1">
      <alignment horizontal="right" vertical="center"/>
    </xf>
    <xf numFmtId="174" fontId="40" fillId="0" borderId="15" xfId="5" applyNumberFormat="1" applyFont="1" applyFill="1" applyBorder="1" applyAlignment="1">
      <alignment horizontal="right" vertical="center"/>
    </xf>
    <xf numFmtId="174" fontId="40" fillId="0" borderId="34" xfId="5" applyNumberFormat="1" applyFont="1" applyFill="1" applyBorder="1" applyAlignment="1">
      <alignment horizontal="right" vertical="center"/>
    </xf>
    <xf numFmtId="174" fontId="18" fillId="0" borderId="34" xfId="5" applyNumberFormat="1" applyFont="1" applyFill="1" applyBorder="1" applyAlignment="1">
      <alignment horizontal="right" vertical="center"/>
    </xf>
    <xf numFmtId="174" fontId="42" fillId="0" borderId="12" xfId="5" applyNumberFormat="1" applyFont="1" applyFill="1" applyBorder="1" applyAlignment="1">
      <alignment horizontal="right" vertical="center" wrapText="1"/>
    </xf>
    <xf numFmtId="174" fontId="42" fillId="0" borderId="36" xfId="5" applyNumberFormat="1" applyFont="1" applyFill="1" applyBorder="1" applyAlignment="1">
      <alignment horizontal="right" vertical="center" wrapText="1"/>
    </xf>
    <xf numFmtId="174" fontId="77" fillId="0" borderId="69" xfId="5" applyNumberFormat="1" applyFont="1" applyFill="1" applyBorder="1" applyAlignment="1">
      <alignment horizontal="right" vertical="center"/>
    </xf>
    <xf numFmtId="174" fontId="42" fillId="0" borderId="28" xfId="5" applyNumberFormat="1" applyFont="1" applyFill="1" applyBorder="1" applyAlignment="1">
      <alignment horizontal="right" vertical="center"/>
    </xf>
    <xf numFmtId="174" fontId="42" fillId="0" borderId="26" xfId="5" applyNumberFormat="1" applyFont="1" applyFill="1" applyBorder="1" applyAlignment="1">
      <alignment horizontal="right" vertical="center"/>
    </xf>
    <xf numFmtId="174" fontId="9" fillId="0" borderId="27" xfId="3" applyNumberFormat="1" applyFont="1" applyFill="1" applyBorder="1"/>
    <xf numFmtId="174" fontId="77" fillId="0" borderId="25" xfId="5" applyNumberFormat="1" applyFont="1" applyFill="1" applyBorder="1" applyAlignment="1">
      <alignment horizontal="right" vertical="center"/>
    </xf>
    <xf numFmtId="174" fontId="18" fillId="0" borderId="19" xfId="5" applyNumberFormat="1" applyFont="1" applyFill="1" applyBorder="1" applyAlignment="1">
      <alignment horizontal="right" vertical="center" wrapText="1"/>
    </xf>
    <xf numFmtId="174" fontId="40" fillId="0" borderId="7" xfId="5" applyNumberFormat="1" applyFont="1" applyFill="1" applyBorder="1" applyAlignment="1">
      <alignment horizontal="right" vertical="center" wrapText="1"/>
    </xf>
    <xf numFmtId="174" fontId="40" fillId="0" borderId="9" xfId="5" applyNumberFormat="1" applyFont="1" applyFill="1" applyBorder="1" applyAlignment="1">
      <alignment horizontal="right" vertical="center" wrapText="1"/>
    </xf>
    <xf numFmtId="174" fontId="18" fillId="0" borderId="9" xfId="5" applyNumberFormat="1" applyFont="1" applyFill="1" applyBorder="1" applyAlignment="1">
      <alignment horizontal="right" vertical="center" wrapText="1"/>
    </xf>
    <xf numFmtId="174" fontId="77" fillId="0" borderId="19" xfId="5" applyNumberFormat="1" applyFont="1" applyFill="1" applyBorder="1" applyAlignment="1">
      <alignment horizontal="right" vertical="center" wrapText="1"/>
    </xf>
    <xf numFmtId="174" fontId="42" fillId="0" borderId="7" xfId="5" applyNumberFormat="1" applyFont="1" applyFill="1" applyBorder="1" applyAlignment="1">
      <alignment horizontal="right" vertical="center" wrapText="1"/>
    </xf>
    <xf numFmtId="174" fontId="42" fillId="0" borderId="9" xfId="5" applyNumberFormat="1" applyFont="1" applyFill="1" applyBorder="1" applyAlignment="1">
      <alignment horizontal="right" vertical="center" wrapText="1"/>
    </xf>
    <xf numFmtId="174" fontId="14" fillId="0" borderId="0" xfId="3" applyNumberFormat="1" applyFont="1" applyFill="1" applyBorder="1"/>
    <xf numFmtId="174" fontId="77" fillId="0" borderId="9" xfId="5" applyNumberFormat="1" applyFont="1" applyFill="1" applyBorder="1" applyAlignment="1">
      <alignment horizontal="right" vertical="center" wrapText="1"/>
    </xf>
    <xf numFmtId="174" fontId="77" fillId="0" borderId="19" xfId="14" applyNumberFormat="1" applyFont="1" applyFill="1" applyBorder="1" applyAlignment="1">
      <alignment horizontal="right" vertical="center"/>
    </xf>
    <xf numFmtId="174" fontId="42" fillId="0" borderId="7" xfId="14" applyNumberFormat="1" applyFont="1" applyFill="1" applyBorder="1" applyAlignment="1">
      <alignment horizontal="right" vertical="center"/>
    </xf>
    <xf numFmtId="174" fontId="42" fillId="0" borderId="1" xfId="14" applyNumberFormat="1" applyFont="1" applyFill="1" applyBorder="1" applyAlignment="1">
      <alignment horizontal="right" vertical="center"/>
    </xf>
    <xf numFmtId="174" fontId="77" fillId="0" borderId="9" xfId="14" applyNumberFormat="1" applyFont="1" applyFill="1" applyBorder="1" applyAlignment="1">
      <alignment horizontal="right" vertical="center"/>
    </xf>
    <xf numFmtId="174" fontId="18" fillId="0" borderId="19" xfId="14" applyNumberFormat="1" applyFont="1" applyFill="1" applyBorder="1" applyAlignment="1">
      <alignment horizontal="right" vertical="center"/>
    </xf>
    <xf numFmtId="174" fontId="18" fillId="0" borderId="9" xfId="14" applyNumberFormat="1" applyFont="1" applyFill="1" applyBorder="1" applyAlignment="1">
      <alignment horizontal="right" vertical="center"/>
    </xf>
    <xf numFmtId="174" fontId="40" fillId="0" borderId="7" xfId="14" applyNumberFormat="1" applyFont="1" applyFill="1" applyBorder="1" applyAlignment="1">
      <alignment horizontal="right" vertical="center"/>
    </xf>
    <xf numFmtId="174" fontId="40" fillId="0" borderId="1" xfId="14" applyNumberFormat="1" applyFont="1" applyFill="1" applyBorder="1" applyAlignment="1">
      <alignment horizontal="right" vertical="center"/>
    </xf>
    <xf numFmtId="174" fontId="40" fillId="0" borderId="1" xfId="5" applyNumberFormat="1" applyFont="1" applyFill="1" applyBorder="1" applyAlignment="1">
      <alignment horizontal="right" vertical="center" wrapText="1"/>
    </xf>
    <xf numFmtId="174" fontId="40" fillId="0" borderId="14" xfId="5" applyNumberFormat="1" applyFont="1" applyFill="1" applyBorder="1" applyAlignment="1">
      <alignment horizontal="right" vertical="center" wrapText="1"/>
    </xf>
    <xf numFmtId="174" fontId="76" fillId="0" borderId="19" xfId="9" applyNumberFormat="1" applyFont="1" applyFill="1" applyBorder="1" applyAlignment="1">
      <alignment horizontal="right" vertical="center" wrapText="1"/>
    </xf>
    <xf numFmtId="174" fontId="76" fillId="0" borderId="64" xfId="9" applyNumberFormat="1" applyFont="1" applyFill="1" applyBorder="1" applyAlignment="1">
      <alignment horizontal="right" vertical="center" wrapText="1"/>
    </xf>
    <xf numFmtId="174" fontId="106" fillId="0" borderId="19" xfId="5" applyNumberFormat="1" applyFont="1" applyFill="1" applyBorder="1" applyAlignment="1">
      <alignment horizontal="right" vertical="center" wrapText="1"/>
    </xf>
    <xf numFmtId="174" fontId="40" fillId="0" borderId="9" xfId="14" applyNumberFormat="1" applyFont="1" applyFill="1" applyBorder="1" applyAlignment="1">
      <alignment horizontal="right" vertical="center"/>
    </xf>
    <xf numFmtId="174" fontId="18" fillId="0" borderId="6" xfId="5" applyNumberFormat="1" applyFont="1" applyFill="1" applyBorder="1" applyAlignment="1">
      <alignment horizontal="right" vertical="center" wrapText="1"/>
    </xf>
    <xf numFmtId="174" fontId="76" fillId="0" borderId="19" xfId="46" applyNumberFormat="1" applyFont="1" applyFill="1" applyBorder="1" applyAlignment="1">
      <alignment horizontal="right" vertical="center" wrapText="1"/>
    </xf>
    <xf numFmtId="174" fontId="11" fillId="0" borderId="7" xfId="34" applyNumberFormat="1" applyFont="1" applyFill="1" applyBorder="1" applyAlignment="1">
      <alignment horizontal="right" vertical="center" wrapText="1"/>
    </xf>
    <xf numFmtId="174" fontId="11" fillId="0" borderId="1" xfId="34" applyNumberFormat="1" applyFont="1" applyFill="1" applyBorder="1" applyAlignment="1">
      <alignment horizontal="right" vertical="center" wrapText="1"/>
    </xf>
    <xf numFmtId="174" fontId="11" fillId="0" borderId="14" xfId="9" applyNumberFormat="1" applyFont="1" applyFill="1" applyBorder="1" applyAlignment="1">
      <alignment horizontal="right" vertical="center" wrapText="1"/>
    </xf>
    <xf numFmtId="174" fontId="11" fillId="0" borderId="19" xfId="9" applyNumberFormat="1" applyFont="1" applyFill="1" applyBorder="1" applyAlignment="1">
      <alignment horizontal="right" vertical="center" wrapText="1"/>
    </xf>
    <xf numFmtId="174" fontId="11" fillId="0" borderId="19" xfId="46" applyNumberFormat="1" applyFont="1" applyFill="1" applyBorder="1" applyAlignment="1">
      <alignment vertical="center" wrapText="1"/>
    </xf>
    <xf numFmtId="174" fontId="11" fillId="0" borderId="14" xfId="34" applyNumberFormat="1" applyFont="1" applyFill="1" applyBorder="1" applyAlignment="1">
      <alignment horizontal="right" vertical="center" wrapText="1"/>
    </xf>
    <xf numFmtId="174" fontId="11" fillId="0" borderId="0" xfId="9" applyNumberFormat="1" applyFont="1" applyFill="1" applyBorder="1" applyAlignment="1">
      <alignment horizontal="right" vertical="center" wrapText="1"/>
    </xf>
    <xf numFmtId="174" fontId="11" fillId="0" borderId="0" xfId="46" applyNumberFormat="1" applyFont="1" applyFill="1" applyBorder="1" applyAlignment="1">
      <alignment vertical="center" wrapText="1"/>
    </xf>
    <xf numFmtId="174" fontId="98" fillId="0" borderId="19" xfId="5" applyNumberFormat="1" applyFont="1" applyFill="1" applyBorder="1" applyAlignment="1">
      <alignment horizontal="right" vertical="center" wrapText="1"/>
    </xf>
    <xf numFmtId="174" fontId="99" fillId="0" borderId="7" xfId="5" applyNumberFormat="1" applyFont="1" applyFill="1" applyBorder="1" applyAlignment="1">
      <alignment horizontal="right" vertical="center" wrapText="1"/>
    </xf>
    <xf numFmtId="174" fontId="99" fillId="0" borderId="9" xfId="5" applyNumberFormat="1" applyFont="1" applyFill="1" applyBorder="1" applyAlignment="1">
      <alignment horizontal="right" vertical="center" wrapText="1"/>
    </xf>
    <xf numFmtId="174" fontId="100" fillId="0" borderId="0" xfId="3" applyNumberFormat="1" applyFont="1" applyFill="1" applyBorder="1"/>
    <xf numFmtId="174" fontId="98" fillId="0" borderId="9" xfId="5" applyNumberFormat="1" applyFont="1" applyFill="1" applyBorder="1" applyAlignment="1">
      <alignment horizontal="right" vertical="center" wrapText="1"/>
    </xf>
    <xf numFmtId="174" fontId="42" fillId="0" borderId="1" xfId="5" applyNumberFormat="1" applyFont="1" applyFill="1" applyBorder="1" applyAlignment="1">
      <alignment horizontal="right" vertical="center" wrapText="1"/>
    </xf>
    <xf numFmtId="174" fontId="18" fillId="0" borderId="70" xfId="5" applyNumberFormat="1" applyFont="1" applyFill="1" applyBorder="1" applyAlignment="1">
      <alignment horizontal="right" vertical="center" wrapText="1"/>
    </xf>
    <xf numFmtId="174" fontId="18" fillId="0" borderId="34" xfId="5" applyNumberFormat="1" applyFont="1" applyFill="1" applyBorder="1" applyAlignment="1">
      <alignment horizontal="right" vertical="center" wrapText="1"/>
    </xf>
    <xf numFmtId="174" fontId="18" fillId="0" borderId="66" xfId="5" applyNumberFormat="1" applyFont="1" applyFill="1" applyBorder="1" applyAlignment="1">
      <alignment horizontal="right" vertical="center" wrapText="1"/>
    </xf>
    <xf numFmtId="174" fontId="18" fillId="0" borderId="3" xfId="5" applyNumberFormat="1" applyFont="1" applyFill="1" applyBorder="1" applyAlignment="1">
      <alignment horizontal="right" vertical="center" wrapText="1"/>
    </xf>
    <xf numFmtId="174" fontId="79" fillId="0" borderId="71" xfId="5" applyNumberFormat="1" applyFont="1" applyFill="1" applyBorder="1" applyAlignment="1">
      <alignment horizontal="right" vertical="center" wrapText="1"/>
    </xf>
    <xf numFmtId="174" fontId="79" fillId="0" borderId="2" xfId="5" applyNumberFormat="1" applyFont="1" applyFill="1" applyBorder="1" applyAlignment="1">
      <alignment horizontal="right" vertical="center" wrapText="1"/>
    </xf>
    <xf numFmtId="174" fontId="58" fillId="0" borderId="19" xfId="5" applyNumberFormat="1" applyFont="1" applyFill="1" applyBorder="1" applyAlignment="1">
      <alignment horizontal="right" vertical="center" wrapText="1"/>
    </xf>
    <xf numFmtId="174" fontId="58" fillId="0" borderId="1" xfId="5" applyNumberFormat="1" applyFont="1" applyFill="1" applyBorder="1" applyAlignment="1">
      <alignment horizontal="right" vertical="center" wrapText="1"/>
    </xf>
    <xf numFmtId="174" fontId="58" fillId="0" borderId="70" xfId="5" applyNumberFormat="1" applyFont="1" applyFill="1" applyBorder="1" applyAlignment="1">
      <alignment horizontal="right" vertical="center" wrapText="1"/>
    </xf>
    <xf numFmtId="174" fontId="40" fillId="0" borderId="15" xfId="5" applyNumberFormat="1" applyFont="1" applyFill="1" applyBorder="1" applyAlignment="1">
      <alignment horizontal="right" vertical="center" wrapText="1"/>
    </xf>
    <xf numFmtId="174" fontId="40" fillId="0" borderId="34" xfId="5" applyNumberFormat="1" applyFont="1" applyFill="1" applyBorder="1" applyAlignment="1">
      <alignment horizontal="right" vertical="center" wrapText="1"/>
    </xf>
    <xf numFmtId="174" fontId="58" fillId="0" borderId="23" xfId="5" applyNumberFormat="1" applyFont="1" applyFill="1" applyBorder="1" applyAlignment="1">
      <alignment horizontal="right" vertical="center" wrapText="1"/>
    </xf>
    <xf numFmtId="174" fontId="58" fillId="0" borderId="72" xfId="5" applyNumberFormat="1" applyFont="1" applyFill="1" applyBorder="1" applyAlignment="1">
      <alignment horizontal="right" vertical="center" wrapText="1"/>
    </xf>
    <xf numFmtId="174" fontId="40" fillId="0" borderId="12" xfId="5" applyNumberFormat="1" applyFont="1" applyFill="1" applyBorder="1" applyAlignment="1">
      <alignment horizontal="right" vertical="center" wrapText="1"/>
    </xf>
    <xf numFmtId="174" fontId="40" fillId="0" borderId="37" xfId="5" applyNumberFormat="1" applyFont="1" applyFill="1" applyBorder="1" applyAlignment="1">
      <alignment horizontal="right" vertical="center" wrapText="1"/>
    </xf>
    <xf numFmtId="174" fontId="58" fillId="0" borderId="36" xfId="5" applyNumberFormat="1" applyFont="1" applyFill="1" applyBorder="1" applyAlignment="1">
      <alignment horizontal="right" vertical="center" wrapText="1"/>
    </xf>
    <xf numFmtId="174" fontId="79" fillId="0" borderId="67" xfId="5" applyNumberFormat="1" applyFont="1" applyFill="1" applyBorder="1" applyAlignment="1">
      <alignment horizontal="right" vertical="center" wrapText="1"/>
    </xf>
    <xf numFmtId="174" fontId="79" fillId="0" borderId="32" xfId="5" applyNumberFormat="1" applyFont="1" applyFill="1" applyBorder="1" applyAlignment="1">
      <alignment horizontal="right" vertical="center" wrapText="1"/>
    </xf>
    <xf numFmtId="174" fontId="42" fillId="0" borderId="20" xfId="5" applyNumberFormat="1" applyFont="1" applyFill="1" applyBorder="1" applyAlignment="1">
      <alignment horizontal="right" vertical="center" wrapText="1"/>
    </xf>
    <xf numFmtId="174" fontId="79" fillId="0" borderId="19" xfId="5" applyNumberFormat="1" applyFont="1" applyFill="1" applyBorder="1" applyAlignment="1">
      <alignment horizontal="right" vertical="center" wrapText="1"/>
    </xf>
    <xf numFmtId="174" fontId="79" fillId="0" borderId="1" xfId="5" applyNumberFormat="1" applyFont="1" applyFill="1" applyBorder="1" applyAlignment="1">
      <alignment horizontal="right" vertical="center" wrapText="1"/>
    </xf>
    <xf numFmtId="174" fontId="9" fillId="0" borderId="46" xfId="3" applyNumberFormat="1" applyFont="1" applyFill="1" applyBorder="1"/>
    <xf numFmtId="174" fontId="18" fillId="0" borderId="70" xfId="34" applyNumberFormat="1" applyFont="1" applyFill="1" applyBorder="1" applyAlignment="1">
      <alignment horizontal="right" vertical="center" wrapText="1"/>
    </xf>
    <xf numFmtId="174" fontId="40" fillId="0" borderId="65" xfId="5" applyNumberFormat="1" applyFont="1" applyFill="1" applyBorder="1" applyAlignment="1">
      <alignment horizontal="right" vertical="center"/>
    </xf>
    <xf numFmtId="174" fontId="18" fillId="0" borderId="34" xfId="34" applyNumberFormat="1" applyFont="1" applyFill="1" applyBorder="1" applyAlignment="1">
      <alignment horizontal="right" vertical="center" wrapText="1"/>
    </xf>
    <xf numFmtId="174" fontId="18" fillId="0" borderId="66" xfId="34" applyNumberFormat="1" applyFont="1" applyFill="1" applyBorder="1" applyAlignment="1">
      <alignment horizontal="right" vertical="center" wrapText="1"/>
    </xf>
    <xf numFmtId="174" fontId="40" fillId="0" borderId="59" xfId="5" applyNumberFormat="1" applyFont="1" applyFill="1" applyBorder="1" applyAlignment="1">
      <alignment horizontal="right" vertical="center"/>
    </xf>
    <xf numFmtId="174" fontId="40" fillId="0" borderId="74" xfId="5" applyNumberFormat="1" applyFont="1" applyFill="1" applyBorder="1" applyAlignment="1">
      <alignment horizontal="right" vertical="center"/>
    </xf>
    <xf numFmtId="174" fontId="48" fillId="0" borderId="38" xfId="3" applyNumberFormat="1" applyFont="1" applyFill="1" applyBorder="1"/>
    <xf numFmtId="174" fontId="9" fillId="0" borderId="38" xfId="3" applyNumberFormat="1" applyFont="1" applyFill="1" applyBorder="1"/>
    <xf numFmtId="174" fontId="18" fillId="0" borderId="3" xfId="34" applyNumberFormat="1" applyFont="1" applyFill="1" applyBorder="1" applyAlignment="1">
      <alignment horizontal="right" vertical="center" wrapText="1"/>
    </xf>
    <xf numFmtId="174" fontId="77" fillId="0" borderId="69" xfId="5" applyNumberFormat="1" applyFont="1" applyFill="1" applyBorder="1" applyAlignment="1">
      <alignment horizontal="right" vertical="center" wrapText="1"/>
    </xf>
    <xf numFmtId="174" fontId="42" fillId="0" borderId="28" xfId="5" applyNumberFormat="1" applyFont="1" applyFill="1" applyBorder="1" applyAlignment="1">
      <alignment horizontal="right" vertical="center" wrapText="1"/>
    </xf>
    <xf numFmtId="174" fontId="42" fillId="0" borderId="26" xfId="5" applyNumberFormat="1" applyFont="1" applyFill="1" applyBorder="1" applyAlignment="1">
      <alignment horizontal="right" vertical="center" wrapText="1"/>
    </xf>
    <xf numFmtId="174" fontId="93" fillId="0" borderId="27" xfId="3" applyNumberFormat="1" applyFont="1" applyFill="1" applyBorder="1"/>
    <xf numFmtId="174" fontId="14" fillId="0" borderId="27" xfId="3" applyNumberFormat="1" applyFont="1" applyFill="1" applyBorder="1"/>
    <xf numFmtId="174" fontId="42" fillId="0" borderId="15" xfId="5" applyNumberFormat="1" applyFont="1" applyFill="1" applyBorder="1" applyAlignment="1">
      <alignment horizontal="right" vertical="center"/>
    </xf>
    <xf numFmtId="174" fontId="42" fillId="0" borderId="23" xfId="5" applyNumberFormat="1" applyFont="1" applyFill="1" applyBorder="1" applyAlignment="1">
      <alignment horizontal="right" vertical="center"/>
    </xf>
    <xf numFmtId="174" fontId="9" fillId="0" borderId="61" xfId="24" applyNumberFormat="1" applyFont="1" applyFill="1" applyBorder="1" applyAlignment="1">
      <alignment horizontal="right"/>
    </xf>
    <xf numFmtId="174" fontId="9" fillId="0" borderId="62" xfId="24" applyNumberFormat="1" applyFont="1" applyFill="1" applyBorder="1" applyAlignment="1">
      <alignment horizontal="right"/>
    </xf>
    <xf numFmtId="174" fontId="9" fillId="0" borderId="62" xfId="3" applyNumberFormat="1" applyFont="1" applyFill="1" applyBorder="1"/>
    <xf numFmtId="174" fontId="9" fillId="0" borderId="63" xfId="24" applyNumberFormat="1" applyFont="1" applyFill="1" applyBorder="1" applyAlignment="1">
      <alignment horizontal="right"/>
    </xf>
    <xf numFmtId="174" fontId="14" fillId="0" borderId="33" xfId="24" applyNumberFormat="1" applyFont="1" applyFill="1" applyBorder="1" applyAlignment="1">
      <alignment horizontal="right"/>
    </xf>
    <xf numFmtId="174" fontId="14" fillId="0" borderId="32" xfId="3" applyNumberFormat="1" applyFont="1" applyFill="1" applyBorder="1"/>
    <xf numFmtId="168" fontId="20" fillId="0" borderId="0" xfId="37" applyNumberFormat="1" applyFont="1" applyFill="1" applyBorder="1" applyAlignment="1">
      <alignment horizontal="left" vertical="center" wrapText="1"/>
    </xf>
    <xf numFmtId="177" fontId="32" fillId="0" borderId="47" xfId="26" applyNumberFormat="1" applyFont="1" applyFill="1" applyBorder="1" applyAlignment="1">
      <alignment vertical="distributed"/>
    </xf>
    <xf numFmtId="172" fontId="12" fillId="0" borderId="1" xfId="12" applyNumberFormat="1" applyFont="1" applyFill="1" applyBorder="1" applyAlignment="1" applyProtection="1">
      <alignment horizontal="left" vertical="center" wrapText="1"/>
    </xf>
    <xf numFmtId="0" fontId="14" fillId="7" borderId="8" xfId="3" applyFont="1" applyFill="1" applyBorder="1" applyAlignment="1">
      <alignment horizontal="center" vertical="center"/>
    </xf>
    <xf numFmtId="0" fontId="12" fillId="7" borderId="7" xfId="3" applyFont="1" applyFill="1" applyBorder="1" applyAlignment="1">
      <alignment horizontal="left" vertical="center" wrapText="1"/>
    </xf>
    <xf numFmtId="49" fontId="13" fillId="7" borderId="1" xfId="3" applyNumberFormat="1" applyFont="1" applyFill="1" applyBorder="1" applyAlignment="1">
      <alignment horizontal="center" vertical="center" wrapText="1"/>
    </xf>
    <xf numFmtId="49" fontId="11" fillId="7" borderId="1" xfId="3" applyNumberFormat="1" applyFont="1" applyFill="1" applyBorder="1" applyAlignment="1">
      <alignment horizontal="center" vertical="center" wrapText="1"/>
    </xf>
    <xf numFmtId="0" fontId="12" fillId="7" borderId="1" xfId="3" applyFont="1" applyFill="1" applyBorder="1" applyAlignment="1">
      <alignment horizontal="center" vertical="center"/>
    </xf>
    <xf numFmtId="49" fontId="12" fillId="7" borderId="1" xfId="3" applyNumberFormat="1" applyFont="1" applyFill="1" applyBorder="1" applyAlignment="1">
      <alignment horizontal="center" vertical="center" wrapText="1"/>
    </xf>
    <xf numFmtId="166" fontId="11" fillId="7" borderId="1" xfId="34" applyNumberFormat="1" applyFont="1" applyFill="1" applyBorder="1" applyAlignment="1">
      <alignment horizontal="right" vertical="center" wrapText="1"/>
    </xf>
    <xf numFmtId="166" fontId="11" fillId="7" borderId="14" xfId="34" applyNumberFormat="1" applyFont="1" applyFill="1" applyBorder="1" applyAlignment="1">
      <alignment horizontal="right" vertical="center" wrapText="1"/>
    </xf>
    <xf numFmtId="183" fontId="11" fillId="7" borderId="7" xfId="34" applyNumberFormat="1" applyFont="1" applyFill="1" applyBorder="1" applyAlignment="1">
      <alignment horizontal="right" vertical="center" wrapText="1"/>
    </xf>
    <xf numFmtId="183" fontId="11" fillId="7" borderId="1" xfId="34" applyNumberFormat="1" applyFont="1" applyFill="1" applyBorder="1" applyAlignment="1">
      <alignment horizontal="right" vertical="center" wrapText="1"/>
    </xf>
    <xf numFmtId="183" fontId="12" fillId="7" borderId="14" xfId="34" applyNumberFormat="1" applyFont="1" applyFill="1" applyBorder="1" applyAlignment="1">
      <alignment horizontal="right" vertical="center" wrapText="1"/>
    </xf>
    <xf numFmtId="183" fontId="12" fillId="7" borderId="19" xfId="34" applyNumberFormat="1" applyFont="1" applyFill="1" applyBorder="1" applyAlignment="1">
      <alignment horizontal="right" vertical="center" wrapText="1"/>
    </xf>
    <xf numFmtId="183" fontId="19" fillId="7" borderId="0" xfId="3" applyNumberFormat="1" applyFont="1" applyFill="1" applyBorder="1"/>
    <xf numFmtId="0" fontId="9" fillId="7" borderId="0" xfId="3" applyFont="1" applyFill="1" applyBorder="1"/>
    <xf numFmtId="0" fontId="9" fillId="7" borderId="0" xfId="3" applyFont="1" applyFill="1"/>
    <xf numFmtId="168" fontId="9" fillId="7" borderId="0" xfId="3" applyNumberFormat="1" applyFont="1" applyFill="1"/>
    <xf numFmtId="0" fontId="9" fillId="7" borderId="8" xfId="3" applyFont="1" applyFill="1" applyBorder="1"/>
    <xf numFmtId="0" fontId="11" fillId="7" borderId="7" xfId="3" applyFont="1" applyFill="1" applyBorder="1" applyAlignment="1">
      <alignment horizontal="left" vertical="center" wrapText="1"/>
    </xf>
    <xf numFmtId="0" fontId="11" fillId="7" borderId="1" xfId="3" applyFont="1" applyFill="1" applyBorder="1" applyAlignment="1">
      <alignment horizontal="center" vertical="center" wrapText="1"/>
    </xf>
    <xf numFmtId="49" fontId="16" fillId="7" borderId="1" xfId="3" applyNumberFormat="1" applyFont="1" applyFill="1" applyBorder="1" applyAlignment="1">
      <alignment horizontal="center" vertical="center" wrapText="1"/>
    </xf>
    <xf numFmtId="167" fontId="11" fillId="7" borderId="1" xfId="34" applyNumberFormat="1" applyFont="1" applyFill="1" applyBorder="1" applyAlignment="1">
      <alignment horizontal="right" vertical="center" wrapText="1"/>
    </xf>
    <xf numFmtId="167" fontId="11" fillId="7" borderId="14" xfId="34" applyNumberFormat="1" applyFont="1" applyFill="1" applyBorder="1" applyAlignment="1">
      <alignment horizontal="right" vertical="center" wrapText="1"/>
    </xf>
    <xf numFmtId="183" fontId="16" fillId="7" borderId="19" xfId="46" applyNumberFormat="1" applyFont="1" applyFill="1" applyBorder="1" applyAlignment="1">
      <alignment horizontal="right" vertical="center" wrapText="1" indent="1"/>
    </xf>
    <xf numFmtId="183" fontId="16" fillId="7" borderId="7" xfId="34" applyNumberFormat="1" applyFont="1" applyFill="1" applyBorder="1" applyAlignment="1">
      <alignment horizontal="right" vertical="center" wrapText="1"/>
    </xf>
    <xf numFmtId="183" fontId="16" fillId="7" borderId="1" xfId="34" applyNumberFormat="1" applyFont="1" applyFill="1" applyBorder="1" applyAlignment="1">
      <alignment horizontal="right" vertical="center" wrapText="1"/>
    </xf>
    <xf numFmtId="183" fontId="16" fillId="7" borderId="14" xfId="34" applyNumberFormat="1" applyFont="1" applyFill="1" applyBorder="1" applyAlignment="1">
      <alignment horizontal="right" vertical="center" wrapText="1"/>
    </xf>
    <xf numFmtId="183" fontId="16" fillId="7" borderId="19" xfId="34" applyNumberFormat="1" applyFont="1" applyFill="1" applyBorder="1" applyAlignment="1">
      <alignment horizontal="right" vertical="center" wrapText="1"/>
    </xf>
    <xf numFmtId="183" fontId="9" fillId="7" borderId="0" xfId="3" applyNumberFormat="1" applyFont="1" applyFill="1" applyBorder="1"/>
    <xf numFmtId="168" fontId="32" fillId="0" borderId="0" xfId="9" applyNumberFormat="1" applyFont="1" applyFill="1" applyAlignment="1">
      <alignment horizontal="left" vertical="center"/>
    </xf>
    <xf numFmtId="0" fontId="32" fillId="0" borderId="0" xfId="9" applyFont="1" applyFill="1" applyAlignment="1">
      <alignment horizontal="right" vertical="center"/>
    </xf>
    <xf numFmtId="0" fontId="32" fillId="0" borderId="0" xfId="3" applyFont="1" applyFill="1" applyAlignment="1">
      <alignment horizontal="right"/>
    </xf>
    <xf numFmtId="0" fontId="25" fillId="0" borderId="0" xfId="27" applyFont="1" applyAlignment="1">
      <alignment horizontal="center" wrapText="1"/>
    </xf>
    <xf numFmtId="0" fontId="12" fillId="0" borderId="1" xfId="9" applyFont="1" applyFill="1" applyBorder="1" applyAlignment="1">
      <alignment horizontal="left" vertical="center" wrapText="1"/>
    </xf>
    <xf numFmtId="0" fontId="32" fillId="0" borderId="0" xfId="3" applyFont="1" applyFill="1" applyAlignment="1"/>
    <xf numFmtId="0" fontId="56" fillId="0" borderId="0" xfId="3" applyFont="1" applyBorder="1" applyAlignment="1">
      <alignment horizontal="center"/>
    </xf>
    <xf numFmtId="166" fontId="12" fillId="2" borderId="0" xfId="24" applyNumberFormat="1" applyFont="1" applyFill="1" applyBorder="1" applyAlignment="1">
      <alignment horizontal="right" vertical="center" wrapText="1"/>
    </xf>
    <xf numFmtId="168" fontId="32" fillId="0" borderId="0" xfId="9" applyNumberFormat="1" applyFont="1" applyFill="1" applyAlignment="1">
      <alignment horizontal="right" vertical="center"/>
    </xf>
    <xf numFmtId="168" fontId="32" fillId="0" borderId="0" xfId="24" applyNumberFormat="1" applyFont="1" applyFill="1" applyAlignment="1">
      <alignment horizontal="right"/>
    </xf>
    <xf numFmtId="169" fontId="12" fillId="0" borderId="1" xfId="10" applyNumberFormat="1" applyFont="1" applyFill="1" applyBorder="1" applyAlignment="1" applyProtection="1">
      <alignment horizontal="left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56" fillId="0" borderId="1" xfId="24" applyNumberFormat="1" applyFont="1" applyFill="1" applyBorder="1" applyAlignment="1">
      <alignment horizontal="center" vertical="center" wrapText="1"/>
    </xf>
    <xf numFmtId="184" fontId="12" fillId="0" borderId="1" xfId="24" applyNumberFormat="1" applyFont="1" applyFill="1" applyBorder="1" applyAlignment="1">
      <alignment horizontal="center" vertical="center" wrapText="1"/>
    </xf>
    <xf numFmtId="184" fontId="12" fillId="0" borderId="37" xfId="24" applyNumberFormat="1" applyFont="1" applyFill="1" applyBorder="1" applyAlignment="1">
      <alignment horizontal="right" vertical="center" wrapText="1"/>
    </xf>
    <xf numFmtId="184" fontId="13" fillId="0" borderId="1" xfId="27" applyNumberFormat="1" applyFont="1" applyFill="1" applyBorder="1" applyAlignment="1">
      <alignment horizontal="center"/>
    </xf>
    <xf numFmtId="168" fontId="32" fillId="0" borderId="0" xfId="9" applyNumberFormat="1" applyFont="1" applyFill="1" applyAlignment="1">
      <alignment horizontal="right" vertical="center"/>
    </xf>
    <xf numFmtId="0" fontId="36" fillId="0" borderId="0" xfId="7" applyFont="1" applyFill="1" applyAlignment="1">
      <alignment horizontal="right"/>
    </xf>
    <xf numFmtId="0" fontId="32" fillId="0" borderId="47" xfId="7" applyFont="1" applyFill="1" applyBorder="1" applyAlignment="1">
      <alignment horizontal="center"/>
    </xf>
    <xf numFmtId="168" fontId="53" fillId="0" borderId="1" xfId="7" applyNumberFormat="1" applyFont="1" applyFill="1" applyBorder="1" applyAlignment="1"/>
    <xf numFmtId="175" fontId="32" fillId="0" borderId="47" xfId="26" applyNumberFormat="1" applyFont="1" applyFill="1" applyBorder="1" applyAlignment="1">
      <alignment horizontal="right" vertical="distributed"/>
    </xf>
    <xf numFmtId="174" fontId="53" fillId="0" borderId="1" xfId="7" applyNumberFormat="1" applyFont="1" applyFill="1" applyBorder="1" applyAlignment="1"/>
    <xf numFmtId="0" fontId="32" fillId="0" borderId="46" xfId="7" applyFont="1" applyFill="1" applyBorder="1" applyAlignment="1">
      <alignment horizontal="center"/>
    </xf>
    <xf numFmtId="168" fontId="32" fillId="0" borderId="47" xfId="7" applyNumberFormat="1" applyFont="1" applyFill="1" applyBorder="1" applyAlignment="1">
      <alignment horizontal="right" vertical="distributed"/>
    </xf>
    <xf numFmtId="168" fontId="53" fillId="0" borderId="45" xfId="7" applyNumberFormat="1" applyFont="1" applyFill="1" applyBorder="1" applyAlignment="1">
      <alignment horizontal="center"/>
    </xf>
    <xf numFmtId="168" fontId="53" fillId="0" borderId="47" xfId="7" applyNumberFormat="1" applyFont="1" applyFill="1" applyBorder="1" applyAlignment="1">
      <alignment horizontal="center"/>
    </xf>
    <xf numFmtId="174" fontId="32" fillId="0" borderId="47" xfId="7" applyNumberFormat="1" applyFont="1" applyFill="1" applyBorder="1" applyAlignment="1">
      <alignment horizontal="right" vertical="distributed"/>
    </xf>
    <xf numFmtId="174" fontId="53" fillId="0" borderId="45" xfId="7" applyNumberFormat="1" applyFont="1" applyFill="1" applyBorder="1" applyAlignment="1">
      <alignment horizontal="center"/>
    </xf>
    <xf numFmtId="174" fontId="53" fillId="0" borderId="47" xfId="7" applyNumberFormat="1" applyFont="1" applyFill="1" applyBorder="1" applyAlignment="1">
      <alignment horizontal="center"/>
    </xf>
    <xf numFmtId="0" fontId="32" fillId="0" borderId="0" xfId="9" applyFont="1" applyFill="1" applyAlignment="1">
      <alignment horizontal="right" vertical="center"/>
    </xf>
    <xf numFmtId="168" fontId="32" fillId="0" borderId="47" xfId="26" applyNumberFormat="1" applyFont="1" applyFill="1" applyBorder="1" applyAlignment="1">
      <alignment horizontal="right" vertical="distributed"/>
    </xf>
    <xf numFmtId="183" fontId="32" fillId="0" borderId="47" xfId="26" applyNumberFormat="1" applyFont="1" applyFill="1" applyBorder="1" applyAlignment="1">
      <alignment horizontal="right" vertical="distributed"/>
    </xf>
    <xf numFmtId="183" fontId="25" fillId="0" borderId="43" xfId="26" applyNumberFormat="1" applyFont="1" applyFill="1" applyBorder="1" applyAlignment="1">
      <alignment horizontal="right" vertical="distributed"/>
    </xf>
    <xf numFmtId="183" fontId="53" fillId="0" borderId="1" xfId="34" applyNumberFormat="1" applyFont="1" applyFill="1" applyBorder="1" applyAlignment="1"/>
    <xf numFmtId="183" fontId="55" fillId="0" borderId="43" xfId="26" applyNumberFormat="1" applyFont="1" applyFill="1" applyBorder="1" applyAlignment="1">
      <alignment horizontal="center"/>
    </xf>
    <xf numFmtId="183" fontId="53" fillId="0" borderId="1" xfId="7" applyNumberFormat="1" applyFont="1" applyFill="1" applyBorder="1" applyAlignment="1"/>
    <xf numFmtId="177" fontId="53" fillId="0" borderId="1" xfId="34" applyNumberFormat="1" applyFont="1" applyFill="1" applyBorder="1" applyAlignment="1"/>
    <xf numFmtId="177" fontId="32" fillId="0" borderId="55" xfId="26" applyNumberFormat="1" applyFont="1" applyFill="1" applyBorder="1" applyAlignment="1">
      <alignment horizontal="distributed" vertical="distributed"/>
    </xf>
    <xf numFmtId="177" fontId="32" fillId="0" borderId="47" xfId="26" applyNumberFormat="1" applyFont="1" applyFill="1" applyBorder="1" applyAlignment="1">
      <alignment horizontal="right" vertical="distributed"/>
    </xf>
    <xf numFmtId="177" fontId="53" fillId="0" borderId="45" xfId="26" applyNumberFormat="1" applyFont="1" applyFill="1" applyBorder="1" applyAlignment="1">
      <alignment horizontal="right"/>
    </xf>
    <xf numFmtId="177" fontId="53" fillId="0" borderId="47" xfId="26" applyNumberFormat="1" applyFont="1" applyFill="1" applyBorder="1" applyAlignment="1">
      <alignment horizontal="right"/>
    </xf>
    <xf numFmtId="168" fontId="53" fillId="0" borderId="1" xfId="34" applyNumberFormat="1" applyFont="1" applyFill="1" applyBorder="1" applyAlignment="1"/>
    <xf numFmtId="165" fontId="8" fillId="0" borderId="0" xfId="1" applyFont="1" applyFill="1"/>
    <xf numFmtId="174" fontId="53" fillId="8" borderId="1" xfId="34" applyNumberFormat="1" applyFont="1" applyFill="1" applyBorder="1" applyAlignment="1"/>
    <xf numFmtId="174" fontId="53" fillId="8" borderId="45" xfId="7" applyNumberFormat="1" applyFont="1" applyFill="1" applyBorder="1" applyAlignment="1">
      <alignment horizontal="center"/>
    </xf>
    <xf numFmtId="174" fontId="53" fillId="8" borderId="47" xfId="7" applyNumberFormat="1" applyFont="1" applyFill="1" applyBorder="1" applyAlignment="1">
      <alignment horizontal="center"/>
    </xf>
    <xf numFmtId="174" fontId="32" fillId="8" borderId="47" xfId="7" applyNumberFormat="1" applyFont="1" applyFill="1" applyBorder="1" applyAlignment="1">
      <alignment horizontal="right" vertical="distributed"/>
    </xf>
    <xf numFmtId="174" fontId="18" fillId="8" borderId="19" xfId="5" applyNumberFormat="1" applyFont="1" applyFill="1" applyBorder="1" applyAlignment="1">
      <alignment horizontal="right" vertical="center" wrapText="1"/>
    </xf>
    <xf numFmtId="183" fontId="11" fillId="8" borderId="19" xfId="46" applyNumberFormat="1" applyFont="1" applyFill="1" applyBorder="1" applyAlignment="1">
      <alignment horizontal="right" vertical="center" wrapText="1" indent="1"/>
    </xf>
    <xf numFmtId="0" fontId="32" fillId="0" borderId="0" xfId="9" applyFont="1" applyFill="1" applyAlignment="1">
      <alignment horizontal="right" vertical="center"/>
    </xf>
    <xf numFmtId="0" fontId="12" fillId="0" borderId="1" xfId="9" applyFont="1" applyFill="1" applyBorder="1" applyAlignment="1">
      <alignment horizontal="left" vertical="center" wrapText="1"/>
    </xf>
    <xf numFmtId="0" fontId="32" fillId="0" borderId="0" xfId="41" applyFont="1" applyFill="1" applyAlignment="1">
      <alignment horizontal="right"/>
    </xf>
    <xf numFmtId="49" fontId="13" fillId="0" borderId="45" xfId="9" applyNumberFormat="1" applyFont="1" applyFill="1" applyBorder="1" applyAlignment="1">
      <alignment horizontal="left" vertical="center" wrapText="1"/>
    </xf>
    <xf numFmtId="0" fontId="32" fillId="0" borderId="0" xfId="7" applyFont="1" applyFill="1" applyAlignment="1">
      <alignment horizontal="right"/>
    </xf>
    <xf numFmtId="0" fontId="32" fillId="0" borderId="0" xfId="41" applyFont="1" applyFill="1" applyAlignment="1"/>
    <xf numFmtId="166" fontId="50" fillId="0" borderId="7" xfId="12" applyNumberFormat="1" applyFont="1" applyFill="1" applyBorder="1" applyAlignment="1" applyProtection="1">
      <alignment horizontal="left" vertical="center" wrapText="1"/>
    </xf>
    <xf numFmtId="0" fontId="51" fillId="0" borderId="1" xfId="0" applyFont="1" applyBorder="1" applyAlignment="1">
      <alignment wrapText="1"/>
    </xf>
    <xf numFmtId="183" fontId="12" fillId="0" borderId="14" xfId="24" applyNumberFormat="1" applyFont="1" applyFill="1" applyBorder="1" applyAlignment="1">
      <alignment horizontal="right" vertical="center" wrapText="1"/>
    </xf>
    <xf numFmtId="183" fontId="12" fillId="0" borderId="19" xfId="24" applyNumberFormat="1" applyFont="1" applyFill="1" applyBorder="1" applyAlignment="1">
      <alignment horizontal="right" vertical="center" wrapText="1"/>
    </xf>
    <xf numFmtId="183" fontId="96" fillId="0" borderId="14" xfId="34" applyNumberFormat="1" applyFont="1" applyFill="1" applyBorder="1" applyAlignment="1">
      <alignment horizontal="right" vertical="center" wrapText="1"/>
    </xf>
    <xf numFmtId="183" fontId="96" fillId="0" borderId="19" xfId="34" applyNumberFormat="1" applyFont="1" applyFill="1" applyBorder="1" applyAlignment="1">
      <alignment horizontal="right" vertical="center" wrapText="1"/>
    </xf>
    <xf numFmtId="174" fontId="11" fillId="0" borderId="19" xfId="46" applyNumberFormat="1" applyFont="1" applyFill="1" applyBorder="1" applyAlignment="1">
      <alignment horizontal="right" vertical="center" wrapText="1" indent="1"/>
    </xf>
    <xf numFmtId="174" fontId="11" fillId="0" borderId="9" xfId="34" applyNumberFormat="1" applyFont="1" applyFill="1" applyBorder="1" applyAlignment="1">
      <alignment horizontal="right" vertical="center" wrapText="1"/>
    </xf>
    <xf numFmtId="174" fontId="11" fillId="0" borderId="19" xfId="34" applyNumberFormat="1" applyFont="1" applyFill="1" applyBorder="1" applyAlignment="1">
      <alignment horizontal="right" vertical="center" wrapText="1"/>
    </xf>
    <xf numFmtId="174" fontId="9" fillId="0" borderId="0" xfId="3" applyNumberFormat="1" applyFont="1" applyFill="1" applyBorder="1" applyAlignment="1"/>
    <xf numFmtId="174" fontId="16" fillId="0" borderId="7" xfId="34" applyNumberFormat="1" applyFont="1" applyFill="1" applyBorder="1" applyAlignment="1" applyProtection="1">
      <alignment horizontal="right" vertical="center" wrapText="1"/>
      <protection locked="0"/>
    </xf>
    <xf numFmtId="174" fontId="16" fillId="0" borderId="1" xfId="34" applyNumberFormat="1" applyFont="1" applyFill="1" applyBorder="1" applyAlignment="1" applyProtection="1">
      <alignment horizontal="right" vertical="center" wrapText="1"/>
      <protection locked="0"/>
    </xf>
    <xf numFmtId="174" fontId="16" fillId="0" borderId="9" xfId="34" applyNumberFormat="1" applyFont="1" applyFill="1" applyBorder="1" applyAlignment="1" applyProtection="1">
      <alignment horizontal="right" vertical="center" wrapText="1"/>
      <protection locked="0"/>
    </xf>
    <xf numFmtId="174" fontId="16" fillId="0" borderId="19" xfId="34" applyNumberFormat="1" applyFont="1" applyFill="1" applyBorder="1" applyAlignment="1" applyProtection="1">
      <alignment horizontal="right" vertical="center" wrapText="1"/>
      <protection locked="0"/>
    </xf>
    <xf numFmtId="174" fontId="13" fillId="0" borderId="7" xfId="34" applyNumberFormat="1" applyFont="1" applyFill="1" applyBorder="1" applyAlignment="1">
      <alignment horizontal="right" vertical="center" wrapText="1"/>
    </xf>
    <xf numFmtId="174" fontId="13" fillId="0" borderId="1" xfId="34" applyNumberFormat="1" applyFont="1" applyFill="1" applyBorder="1" applyAlignment="1">
      <alignment horizontal="right" vertical="center" wrapText="1"/>
    </xf>
    <xf numFmtId="174" fontId="13" fillId="0" borderId="14" xfId="34" applyNumberFormat="1" applyFont="1" applyFill="1" applyBorder="1" applyAlignment="1">
      <alignment horizontal="right" vertical="center" wrapText="1"/>
    </xf>
    <xf numFmtId="174" fontId="13" fillId="0" borderId="19" xfId="34" applyNumberFormat="1" applyFont="1" applyFill="1" applyBorder="1" applyAlignment="1">
      <alignment horizontal="right" vertical="center" wrapText="1"/>
    </xf>
    <xf numFmtId="174" fontId="19" fillId="0" borderId="0" xfId="3" applyNumberFormat="1" applyFont="1" applyFill="1" applyBorder="1"/>
    <xf numFmtId="174" fontId="12" fillId="0" borderId="14" xfId="34" applyNumberFormat="1" applyFont="1" applyFill="1" applyBorder="1" applyAlignment="1">
      <alignment horizontal="right" vertical="center" wrapText="1"/>
    </xf>
    <xf numFmtId="174" fontId="12" fillId="0" borderId="19" xfId="34" applyNumberFormat="1" applyFont="1" applyFill="1" applyBorder="1" applyAlignment="1">
      <alignment horizontal="right" vertical="center" wrapText="1"/>
    </xf>
    <xf numFmtId="183" fontId="16" fillId="0" borderId="9" xfId="34" applyNumberFormat="1" applyFont="1" applyFill="1" applyBorder="1" applyAlignment="1">
      <alignment horizontal="right" vertical="center" wrapText="1"/>
    </xf>
    <xf numFmtId="183" fontId="14" fillId="0" borderId="0" xfId="3" applyNumberFormat="1" applyFont="1" applyFill="1" applyBorder="1" applyAlignment="1"/>
    <xf numFmtId="168" fontId="32" fillId="0" borderId="0" xfId="9" applyNumberFormat="1" applyFont="1" applyFill="1" applyAlignment="1">
      <alignment horizontal="right" vertical="center"/>
    </xf>
    <xf numFmtId="183" fontId="12" fillId="0" borderId="7" xfId="37" applyNumberFormat="1" applyFont="1" applyFill="1" applyBorder="1" applyAlignment="1">
      <alignment horizontal="right" vertical="center" wrapText="1" indent="1"/>
    </xf>
    <xf numFmtId="183" fontId="12" fillId="0" borderId="1" xfId="37" applyNumberFormat="1" applyFont="1" applyFill="1" applyBorder="1" applyAlignment="1">
      <alignment horizontal="right" vertical="center" wrapText="1" indent="1"/>
    </xf>
    <xf numFmtId="183" fontId="12" fillId="0" borderId="14" xfId="37" applyNumberFormat="1" applyFont="1" applyFill="1" applyBorder="1" applyAlignment="1">
      <alignment horizontal="right" vertical="center" wrapText="1" indent="1"/>
    </xf>
    <xf numFmtId="183" fontId="12" fillId="0" borderId="19" xfId="37" applyNumberFormat="1" applyFont="1" applyFill="1" applyBorder="1" applyAlignment="1">
      <alignment horizontal="right" vertical="center" wrapText="1" indent="1"/>
    </xf>
    <xf numFmtId="183" fontId="20" fillId="0" borderId="0" xfId="37" applyNumberFormat="1" applyFont="1" applyFill="1" applyBorder="1" applyAlignment="1">
      <alignment horizontal="right" vertical="center" wrapText="1" indent="1"/>
    </xf>
    <xf numFmtId="183" fontId="11" fillId="0" borderId="18" xfId="34" applyNumberFormat="1" applyFont="1" applyFill="1" applyBorder="1" applyAlignment="1">
      <alignment horizontal="right" vertical="center" wrapText="1" indent="1"/>
    </xf>
    <xf numFmtId="183" fontId="11" fillId="0" borderId="2" xfId="34" applyNumberFormat="1" applyFont="1" applyFill="1" applyBorder="1" applyAlignment="1">
      <alignment horizontal="right" vertical="center" wrapText="1" indent="1"/>
    </xf>
    <xf numFmtId="183" fontId="11" fillId="0" borderId="30" xfId="34" applyNumberFormat="1" applyFont="1" applyFill="1" applyBorder="1" applyAlignment="1">
      <alignment horizontal="right" vertical="center" wrapText="1" indent="1"/>
    </xf>
    <xf numFmtId="183" fontId="11" fillId="0" borderId="71" xfId="34" applyNumberFormat="1" applyFont="1" applyFill="1" applyBorder="1" applyAlignment="1">
      <alignment horizontal="right" vertical="center" wrapText="1" indent="1"/>
    </xf>
    <xf numFmtId="183" fontId="11" fillId="0" borderId="7" xfId="34" applyNumberFormat="1" applyFont="1" applyFill="1" applyBorder="1" applyAlignment="1">
      <alignment horizontal="right" vertical="center" wrapText="1" indent="1"/>
    </xf>
    <xf numFmtId="183" fontId="11" fillId="0" borderId="1" xfId="34" applyNumberFormat="1" applyFont="1" applyFill="1" applyBorder="1" applyAlignment="1">
      <alignment horizontal="right" vertical="center" wrapText="1" indent="1"/>
    </xf>
    <xf numFmtId="183" fontId="16" fillId="0" borderId="7" xfId="34" applyNumberFormat="1" applyFont="1" applyFill="1" applyBorder="1" applyAlignment="1">
      <alignment horizontal="right" vertical="center" wrapText="1" indent="1"/>
    </xf>
    <xf numFmtId="183" fontId="16" fillId="0" borderId="1" xfId="34" applyNumberFormat="1" applyFont="1" applyFill="1" applyBorder="1" applyAlignment="1">
      <alignment horizontal="right" vertical="center" wrapText="1" indent="1"/>
    </xf>
    <xf numFmtId="183" fontId="16" fillId="0" borderId="14" xfId="34" applyNumberFormat="1" applyFont="1" applyFill="1" applyBorder="1" applyAlignment="1">
      <alignment horizontal="right" vertical="center" wrapText="1" indent="1"/>
    </xf>
    <xf numFmtId="183" fontId="16" fillId="0" borderId="19" xfId="34" applyNumberFormat="1" applyFont="1" applyFill="1" applyBorder="1" applyAlignment="1">
      <alignment horizontal="right" vertical="center" wrapText="1" indent="1"/>
    </xf>
    <xf numFmtId="183" fontId="16" fillId="0" borderId="7" xfId="3" applyNumberFormat="1" applyFont="1" applyFill="1" applyBorder="1" applyAlignment="1">
      <alignment horizontal="right" vertical="center" wrapText="1"/>
    </xf>
    <xf numFmtId="183" fontId="16" fillId="0" borderId="1" xfId="3" applyNumberFormat="1" applyFont="1" applyFill="1" applyBorder="1" applyAlignment="1">
      <alignment horizontal="right" vertical="center" wrapText="1"/>
    </xf>
    <xf numFmtId="183" fontId="19" fillId="0" borderId="0" xfId="3" applyNumberFormat="1" applyFont="1" applyFill="1" applyBorder="1" applyAlignment="1">
      <alignment horizontal="right" indent="1"/>
    </xf>
    <xf numFmtId="183" fontId="16" fillId="0" borderId="70" xfId="46" applyNumberFormat="1" applyFont="1" applyFill="1" applyBorder="1" applyAlignment="1">
      <alignment horizontal="right" vertical="center" wrapText="1" indent="1"/>
    </xf>
    <xf numFmtId="183" fontId="16" fillId="0" borderId="15" xfId="3" applyNumberFormat="1" applyFont="1" applyFill="1" applyBorder="1" applyAlignment="1">
      <alignment horizontal="right" vertical="center" wrapText="1" indent="1"/>
    </xf>
    <xf numFmtId="183" fontId="16" fillId="0" borderId="16" xfId="3" applyNumberFormat="1" applyFont="1" applyFill="1" applyBorder="1" applyAlignment="1">
      <alignment horizontal="right" vertical="center" wrapText="1" indent="1"/>
    </xf>
    <xf numFmtId="183" fontId="16" fillId="0" borderId="70" xfId="3" applyNumberFormat="1" applyFont="1" applyFill="1" applyBorder="1" applyAlignment="1">
      <alignment horizontal="right" vertical="center" wrapText="1" indent="1"/>
    </xf>
    <xf numFmtId="177" fontId="16" fillId="0" borderId="19" xfId="46" applyNumberFormat="1" applyFont="1" applyFill="1" applyBorder="1" applyAlignment="1">
      <alignment horizontal="right" vertical="center" wrapText="1" indent="1"/>
    </xf>
    <xf numFmtId="177" fontId="16" fillId="0" borderId="7" xfId="3" applyNumberFormat="1" applyFont="1" applyFill="1" applyBorder="1" applyAlignment="1">
      <alignment horizontal="right" vertical="center" wrapText="1" indent="1"/>
    </xf>
    <xf numFmtId="177" fontId="16" fillId="0" borderId="1" xfId="3" applyNumberFormat="1" applyFont="1" applyFill="1" applyBorder="1" applyAlignment="1">
      <alignment horizontal="right" vertical="center" wrapText="1" indent="1"/>
    </xf>
    <xf numFmtId="177" fontId="16" fillId="0" borderId="14" xfId="3" applyNumberFormat="1" applyFont="1" applyFill="1" applyBorder="1" applyAlignment="1">
      <alignment horizontal="right" vertical="center" wrapText="1" indent="1"/>
    </xf>
    <xf numFmtId="177" fontId="16" fillId="0" borderId="19" xfId="3" applyNumberFormat="1" applyFont="1" applyFill="1" applyBorder="1" applyAlignment="1">
      <alignment horizontal="right" vertical="center" wrapText="1" indent="1"/>
    </xf>
    <xf numFmtId="177" fontId="9" fillId="0" borderId="0" xfId="3" applyNumberFormat="1" applyFont="1" applyFill="1" applyBorder="1" applyAlignment="1">
      <alignment horizontal="right" indent="1"/>
    </xf>
    <xf numFmtId="177" fontId="11" fillId="0" borderId="7" xfId="34" applyNumberFormat="1" applyFont="1" applyFill="1" applyBorder="1" applyAlignment="1">
      <alignment horizontal="right" vertical="center" wrapText="1" indent="1"/>
    </xf>
    <xf numFmtId="177" fontId="11" fillId="0" borderId="1" xfId="34" applyNumberFormat="1" applyFont="1" applyFill="1" applyBorder="1" applyAlignment="1">
      <alignment horizontal="right" vertical="center" wrapText="1" indent="1"/>
    </xf>
    <xf numFmtId="177" fontId="11" fillId="0" borderId="14" xfId="34" applyNumberFormat="1" applyFont="1" applyFill="1" applyBorder="1" applyAlignment="1">
      <alignment horizontal="right" vertical="center" wrapText="1" indent="1"/>
    </xf>
    <xf numFmtId="177" fontId="11" fillId="0" borderId="19" xfId="34" applyNumberFormat="1" applyFont="1" applyFill="1" applyBorder="1" applyAlignment="1">
      <alignment horizontal="right" vertical="center" wrapText="1" indent="1"/>
    </xf>
    <xf numFmtId="177" fontId="11" fillId="0" borderId="13" xfId="34" applyNumberFormat="1" applyFont="1" applyFill="1" applyBorder="1" applyAlignment="1">
      <alignment horizontal="right" vertical="center" wrapText="1" indent="1"/>
    </xf>
    <xf numFmtId="177" fontId="19" fillId="0" borderId="0" xfId="3" applyNumberFormat="1" applyFont="1" applyFill="1" applyBorder="1" applyAlignment="1">
      <alignment horizontal="right" indent="1"/>
    </xf>
    <xf numFmtId="174" fontId="16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4" fontId="13" fillId="0" borderId="19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vertical="center" wrapText="1" indent="1"/>
    </xf>
    <xf numFmtId="185" fontId="12" fillId="0" borderId="19" xfId="46" applyNumberFormat="1" applyFont="1" applyFill="1" applyBorder="1" applyAlignment="1">
      <alignment horizontal="right" vertical="center" wrapText="1" indent="1"/>
    </xf>
    <xf numFmtId="183" fontId="97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indent="1"/>
    </xf>
    <xf numFmtId="183" fontId="12" fillId="7" borderId="19" xfId="46" applyNumberFormat="1" applyFont="1" applyFill="1" applyBorder="1" applyAlignment="1">
      <alignment horizontal="right" vertical="center" wrapText="1" indent="1"/>
    </xf>
    <xf numFmtId="183" fontId="19" fillId="0" borderId="72" xfId="46" applyNumberFormat="1" applyFont="1" applyFill="1" applyBorder="1" applyAlignment="1">
      <alignment horizontal="right" indent="1"/>
    </xf>
    <xf numFmtId="183" fontId="9" fillId="0" borderId="72" xfId="46" applyNumberFormat="1" applyFont="1" applyFill="1" applyBorder="1" applyAlignment="1">
      <alignment horizontal="right" indent="1"/>
    </xf>
    <xf numFmtId="183" fontId="16" fillId="0" borderId="71" xfId="46" applyNumberFormat="1" applyFont="1" applyFill="1" applyBorder="1" applyAlignment="1">
      <alignment horizontal="right" vertical="center" wrapText="1" indent="1"/>
    </xf>
    <xf numFmtId="183" fontId="13" fillId="0" borderId="71" xfId="46" applyNumberFormat="1" applyFont="1" applyFill="1" applyBorder="1" applyAlignment="1">
      <alignment horizontal="right" vertical="center" wrapText="1" indent="1"/>
    </xf>
    <xf numFmtId="183" fontId="13" fillId="0" borderId="19" xfId="46" applyNumberFormat="1" applyFont="1" applyFill="1" applyBorder="1" applyAlignment="1">
      <alignment horizontal="right" indent="1"/>
    </xf>
    <xf numFmtId="183" fontId="13" fillId="0" borderId="71" xfId="46" applyNumberFormat="1" applyFont="1" applyFill="1" applyBorder="1" applyAlignment="1">
      <alignment horizontal="right" indent="1"/>
    </xf>
    <xf numFmtId="185" fontId="13" fillId="0" borderId="19" xfId="46" applyNumberFormat="1" applyFont="1" applyFill="1" applyBorder="1" applyAlignment="1">
      <alignment horizontal="right" vertical="center" wrapText="1" indent="1"/>
    </xf>
    <xf numFmtId="185" fontId="11" fillId="0" borderId="66" xfId="46" applyNumberFormat="1" applyFont="1" applyFill="1" applyBorder="1" applyAlignment="1">
      <alignment horizontal="right" vertical="center" wrapText="1" indent="1"/>
    </xf>
    <xf numFmtId="183" fontId="12" fillId="0" borderId="70" xfId="46" applyNumberFormat="1" applyFont="1" applyFill="1" applyBorder="1" applyAlignment="1">
      <alignment horizontal="right" vertical="center" wrapText="1" indent="1"/>
    </xf>
    <xf numFmtId="183" fontId="12" fillId="0" borderId="71" xfId="46" applyNumberFormat="1" applyFont="1" applyFill="1" applyBorder="1" applyAlignment="1">
      <alignment horizontal="right" vertical="center" wrapText="1" indent="1"/>
    </xf>
    <xf numFmtId="165" fontId="8" fillId="0" borderId="0" xfId="1" applyNumberFormat="1" applyFont="1" applyFill="1"/>
    <xf numFmtId="165" fontId="8" fillId="0" borderId="0" xfId="7" applyNumberFormat="1" applyFill="1"/>
    <xf numFmtId="0" fontId="32" fillId="0" borderId="0" xfId="7" applyFont="1" applyFill="1" applyAlignment="1">
      <alignment horizontal="right"/>
    </xf>
    <xf numFmtId="0" fontId="51" fillId="0" borderId="0" xfId="56" applyFont="1" applyFill="1" applyAlignment="1">
      <alignment horizontal="left" vertical="top"/>
    </xf>
    <xf numFmtId="0" fontId="54" fillId="0" borderId="29" xfId="56" applyFont="1" applyFill="1" applyBorder="1" applyAlignment="1">
      <alignment horizontal="center" vertical="center" wrapText="1"/>
    </xf>
    <xf numFmtId="0" fontId="54" fillId="0" borderId="26" xfId="56" applyFont="1" applyFill="1" applyBorder="1" applyAlignment="1">
      <alignment horizontal="center" vertical="center" wrapText="1"/>
    </xf>
    <xf numFmtId="0" fontId="54" fillId="0" borderId="25" xfId="56" applyFont="1" applyFill="1" applyBorder="1" applyAlignment="1">
      <alignment horizontal="center" vertical="center" wrapText="1"/>
    </xf>
    <xf numFmtId="0" fontId="75" fillId="0" borderId="8" xfId="56" applyFont="1" applyFill="1" applyBorder="1" applyAlignment="1">
      <alignment horizontal="center" vertical="center" wrapText="1"/>
    </xf>
    <xf numFmtId="0" fontId="75" fillId="0" borderId="1" xfId="56" applyFont="1" applyFill="1" applyBorder="1" applyAlignment="1">
      <alignment horizontal="left" vertical="center" wrapText="1"/>
    </xf>
    <xf numFmtId="49" fontId="75" fillId="0" borderId="1" xfId="56" applyNumberFormat="1" applyFont="1" applyFill="1" applyBorder="1" applyAlignment="1">
      <alignment horizontal="center" vertical="center" wrapText="1"/>
    </xf>
    <xf numFmtId="174" fontId="75" fillId="0" borderId="1" xfId="57" applyNumberFormat="1" applyFont="1" applyFill="1" applyBorder="1" applyAlignment="1">
      <alignment horizontal="right" vertical="center" wrapText="1"/>
    </xf>
    <xf numFmtId="174" fontId="75" fillId="0" borderId="9" xfId="57" applyNumberFormat="1" applyFont="1" applyFill="1" applyBorder="1" applyAlignment="1">
      <alignment horizontal="right" vertical="center" wrapText="1"/>
    </xf>
    <xf numFmtId="0" fontId="109" fillId="0" borderId="8" xfId="56" applyFont="1" applyFill="1" applyBorder="1" applyAlignment="1">
      <alignment horizontal="center" vertical="center" wrapText="1"/>
    </xf>
    <xf numFmtId="0" fontId="109" fillId="0" borderId="1" xfId="56" applyFont="1" applyFill="1" applyBorder="1" applyAlignment="1">
      <alignment horizontal="left" vertical="center" wrapText="1"/>
    </xf>
    <xf numFmtId="49" fontId="109" fillId="0" borderId="1" xfId="56" applyNumberFormat="1" applyFont="1" applyFill="1" applyBorder="1" applyAlignment="1">
      <alignment horizontal="center" vertical="center" wrapText="1"/>
    </xf>
    <xf numFmtId="174" fontId="109" fillId="0" borderId="1" xfId="57" applyNumberFormat="1" applyFont="1" applyFill="1" applyBorder="1" applyAlignment="1">
      <alignment horizontal="right" vertical="center" wrapText="1"/>
    </xf>
    <xf numFmtId="174" fontId="109" fillId="0" borderId="9" xfId="57" applyNumberFormat="1" applyFont="1" applyFill="1" applyBorder="1" applyAlignment="1">
      <alignment horizontal="right" vertical="center" wrapText="1"/>
    </xf>
    <xf numFmtId="49" fontId="110" fillId="0" borderId="1" xfId="56" applyNumberFormat="1" applyFont="1" applyFill="1" applyBorder="1" applyAlignment="1">
      <alignment horizontal="center" vertical="center" wrapText="1"/>
    </xf>
    <xf numFmtId="0" fontId="109" fillId="0" borderId="24" xfId="56" applyFont="1" applyFill="1" applyBorder="1" applyAlignment="1">
      <alignment horizontal="center" vertical="center" wrapText="1"/>
    </xf>
    <xf numFmtId="0" fontId="109" fillId="0" borderId="23" xfId="56" applyFont="1" applyFill="1" applyBorder="1" applyAlignment="1">
      <alignment horizontal="left" vertical="center" wrapText="1"/>
    </xf>
    <xf numFmtId="168" fontId="109" fillId="0" borderId="23" xfId="57" applyNumberFormat="1" applyFont="1" applyFill="1" applyBorder="1" applyAlignment="1">
      <alignment horizontal="right" vertical="center" wrapText="1"/>
    </xf>
    <xf numFmtId="168" fontId="109" fillId="0" borderId="34" xfId="57" applyNumberFormat="1" applyFont="1" applyFill="1" applyBorder="1" applyAlignment="1">
      <alignment horizontal="right" vertical="center" wrapText="1"/>
    </xf>
    <xf numFmtId="174" fontId="75" fillId="0" borderId="4" xfId="57" applyNumberFormat="1" applyFont="1" applyFill="1" applyBorder="1" applyAlignment="1">
      <alignment horizontal="right" vertical="center" wrapText="1"/>
    </xf>
    <xf numFmtId="174" fontId="75" fillId="0" borderId="3" xfId="57" applyNumberFormat="1" applyFont="1" applyFill="1" applyBorder="1" applyAlignment="1">
      <alignment horizontal="right" vertical="center" wrapText="1"/>
    </xf>
    <xf numFmtId="0" fontId="36" fillId="0" borderId="0" xfId="7" applyFont="1" applyFill="1" applyAlignment="1">
      <alignment horizontal="right"/>
    </xf>
    <xf numFmtId="0" fontId="54" fillId="0" borderId="0" xfId="7" applyFont="1" applyFill="1" applyAlignment="1">
      <alignment horizontal="center"/>
    </xf>
    <xf numFmtId="0" fontId="32" fillId="0" borderId="38" xfId="7" applyFont="1" applyFill="1" applyBorder="1" applyAlignment="1">
      <alignment horizontal="center"/>
    </xf>
    <xf numFmtId="0" fontId="53" fillId="0" borderId="38" xfId="7" applyFont="1" applyFill="1" applyBorder="1" applyAlignment="1">
      <alignment horizontal="right"/>
    </xf>
    <xf numFmtId="0" fontId="32" fillId="0" borderId="0" xfId="0" applyFont="1" applyFill="1" applyAlignment="1">
      <alignment horizontal="right" vertical="center"/>
    </xf>
    <xf numFmtId="0" fontId="53" fillId="0" borderId="39" xfId="7" applyFont="1" applyFill="1" applyBorder="1" applyAlignment="1">
      <alignment horizontal="center" vertical="center"/>
    </xf>
    <xf numFmtId="0" fontId="53" fillId="0" borderId="40" xfId="7" applyFont="1" applyFill="1" applyBorder="1" applyAlignment="1">
      <alignment horizontal="center" vertical="center"/>
    </xf>
    <xf numFmtId="0" fontId="53" fillId="0" borderId="42" xfId="7" applyFont="1" applyFill="1" applyBorder="1" applyAlignment="1">
      <alignment horizontal="center" vertical="center"/>
    </xf>
    <xf numFmtId="0" fontId="53" fillId="0" borderId="43" xfId="7" applyFont="1" applyFill="1" applyBorder="1" applyAlignment="1">
      <alignment horizontal="center" vertical="center"/>
    </xf>
    <xf numFmtId="0" fontId="32" fillId="0" borderId="42" xfId="7" applyFont="1" applyFill="1" applyBorder="1" applyAlignment="1">
      <alignment horizontal="center"/>
    </xf>
    <xf numFmtId="0" fontId="32" fillId="0" borderId="43" xfId="7" applyFont="1" applyFill="1" applyBorder="1" applyAlignment="1">
      <alignment horizontal="center"/>
    </xf>
    <xf numFmtId="0" fontId="32" fillId="0" borderId="45" xfId="7" applyFont="1" applyFill="1" applyBorder="1" applyAlignment="1">
      <alignment horizontal="center"/>
    </xf>
    <xf numFmtId="0" fontId="32" fillId="0" borderId="47" xfId="7" applyFont="1" applyFill="1" applyBorder="1" applyAlignment="1">
      <alignment horizontal="center"/>
    </xf>
    <xf numFmtId="0" fontId="53" fillId="0" borderId="45" xfId="7" applyFont="1" applyFill="1" applyBorder="1" applyAlignment="1">
      <alignment horizontal="center"/>
    </xf>
    <xf numFmtId="0" fontId="53" fillId="0" borderId="47" xfId="7" applyFont="1" applyFill="1" applyBorder="1" applyAlignment="1">
      <alignment horizontal="center"/>
    </xf>
    <xf numFmtId="0" fontId="32" fillId="0" borderId="39" xfId="7" applyFont="1" applyFill="1" applyBorder="1" applyAlignment="1">
      <alignment horizontal="center"/>
    </xf>
    <xf numFmtId="0" fontId="32" fillId="0" borderId="27" xfId="7" applyFont="1" applyFill="1" applyBorder="1" applyAlignment="1">
      <alignment horizontal="center"/>
    </xf>
    <xf numFmtId="0" fontId="32" fillId="0" borderId="40" xfId="7" applyFont="1" applyFill="1" applyBorder="1" applyAlignment="1">
      <alignment horizontal="center"/>
    </xf>
    <xf numFmtId="0" fontId="32" fillId="0" borderId="39" xfId="7" applyFont="1" applyFill="1" applyBorder="1" applyAlignment="1">
      <alignment horizontal="center" vertical="center"/>
    </xf>
    <xf numFmtId="0" fontId="32" fillId="0" borderId="27" xfId="7" applyFont="1" applyFill="1" applyBorder="1" applyAlignment="1">
      <alignment horizontal="center" vertical="center"/>
    </xf>
    <xf numFmtId="0" fontId="32" fillId="0" borderId="40" xfId="7" applyFont="1" applyFill="1" applyBorder="1" applyAlignment="1">
      <alignment horizontal="center" vertical="center"/>
    </xf>
    <xf numFmtId="0" fontId="32" fillId="0" borderId="42" xfId="7" applyFont="1" applyFill="1" applyBorder="1" applyAlignment="1">
      <alignment horizontal="center" vertical="center"/>
    </xf>
    <xf numFmtId="0" fontId="32" fillId="0" borderId="38" xfId="7" applyFont="1" applyFill="1" applyBorder="1" applyAlignment="1">
      <alignment horizontal="center" vertical="center"/>
    </xf>
    <xf numFmtId="0" fontId="32" fillId="0" borderId="43" xfId="7" applyFont="1" applyFill="1" applyBorder="1" applyAlignment="1">
      <alignment horizontal="center" vertical="center"/>
    </xf>
    <xf numFmtId="168" fontId="53" fillId="0" borderId="41" xfId="25" applyNumberFormat="1" applyFont="1" applyFill="1" applyBorder="1" applyAlignment="1"/>
    <xf numFmtId="168" fontId="53" fillId="0" borderId="44" xfId="25" applyNumberFormat="1" applyFont="1" applyFill="1" applyBorder="1" applyAlignment="1"/>
    <xf numFmtId="0" fontId="8" fillId="0" borderId="41" xfId="7" applyFont="1" applyFill="1" applyBorder="1" applyAlignment="1">
      <alignment horizontal="center"/>
    </xf>
    <xf numFmtId="0" fontId="8" fillId="0" borderId="44" xfId="7" applyFill="1" applyBorder="1" applyAlignment="1">
      <alignment horizontal="center"/>
    </xf>
    <xf numFmtId="0" fontId="25" fillId="0" borderId="39" xfId="7" applyFont="1" applyFill="1" applyBorder="1" applyAlignment="1">
      <alignment horizontal="center"/>
    </xf>
    <xf numFmtId="0" fontId="25" fillId="0" borderId="27" xfId="7" applyFont="1" applyFill="1" applyBorder="1" applyAlignment="1">
      <alignment horizontal="center"/>
    </xf>
    <xf numFmtId="0" fontId="25" fillId="0" borderId="40" xfId="7" applyFont="1" applyFill="1" applyBorder="1" applyAlignment="1">
      <alignment horizontal="center"/>
    </xf>
    <xf numFmtId="0" fontId="25" fillId="0" borderId="42" xfId="7" applyFont="1" applyFill="1" applyBorder="1" applyAlignment="1">
      <alignment horizontal="center"/>
    </xf>
    <xf numFmtId="0" fontId="25" fillId="0" borderId="38" xfId="7" applyFont="1" applyFill="1" applyBorder="1" applyAlignment="1">
      <alignment horizontal="center"/>
    </xf>
    <xf numFmtId="0" fontId="25" fillId="0" borderId="43" xfId="7" applyFont="1" applyFill="1" applyBorder="1" applyAlignment="1">
      <alignment horizontal="center"/>
    </xf>
    <xf numFmtId="0" fontId="25" fillId="0" borderId="39" xfId="7" applyFont="1" applyFill="1" applyBorder="1" applyAlignment="1">
      <alignment horizontal="left"/>
    </xf>
    <xf numFmtId="0" fontId="25" fillId="0" borderId="27" xfId="7" applyFont="1" applyFill="1" applyBorder="1" applyAlignment="1">
      <alignment horizontal="left"/>
    </xf>
    <xf numFmtId="0" fontId="25" fillId="0" borderId="40" xfId="7" applyFont="1" applyFill="1" applyBorder="1" applyAlignment="1">
      <alignment horizontal="left"/>
    </xf>
    <xf numFmtId="0" fontId="25" fillId="0" borderId="42" xfId="7" applyFont="1" applyFill="1" applyBorder="1" applyAlignment="1">
      <alignment horizontal="left"/>
    </xf>
    <xf numFmtId="0" fontId="25" fillId="0" borderId="38" xfId="7" applyFont="1" applyFill="1" applyBorder="1" applyAlignment="1">
      <alignment horizontal="left"/>
    </xf>
    <xf numFmtId="0" fontId="25" fillId="0" borderId="43" xfId="7" applyFont="1" applyFill="1" applyBorder="1" applyAlignment="1">
      <alignment horizontal="left"/>
    </xf>
    <xf numFmtId="175" fontId="25" fillId="0" borderId="39" xfId="26" applyNumberFormat="1" applyFont="1" applyFill="1" applyBorder="1" applyAlignment="1">
      <alignment horizontal="right" vertical="distributed"/>
    </xf>
    <xf numFmtId="175" fontId="25" fillId="0" borderId="40" xfId="26" applyNumberFormat="1" applyFont="1" applyFill="1" applyBorder="1" applyAlignment="1">
      <alignment horizontal="right" vertical="distributed"/>
    </xf>
    <xf numFmtId="175" fontId="25" fillId="0" borderId="42" xfId="26" applyNumberFormat="1" applyFont="1" applyFill="1" applyBorder="1" applyAlignment="1">
      <alignment horizontal="right" vertical="distributed"/>
    </xf>
    <xf numFmtId="175" fontId="25" fillId="0" borderId="43" xfId="26" applyNumberFormat="1" applyFont="1" applyFill="1" applyBorder="1" applyAlignment="1">
      <alignment horizontal="right" vertical="distributed"/>
    </xf>
    <xf numFmtId="168" fontId="53" fillId="0" borderId="1" xfId="25" applyNumberFormat="1" applyFont="1" applyFill="1" applyBorder="1" applyAlignment="1"/>
    <xf numFmtId="168" fontId="53" fillId="0" borderId="41" xfId="7" applyNumberFormat="1" applyFont="1" applyFill="1" applyBorder="1" applyAlignment="1"/>
    <xf numFmtId="168" fontId="53" fillId="0" borderId="44" xfId="7" applyNumberFormat="1" applyFont="1" applyFill="1" applyBorder="1" applyAlignment="1"/>
    <xf numFmtId="175" fontId="55" fillId="0" borderId="39" xfId="26" applyNumberFormat="1" applyFont="1" applyFill="1" applyBorder="1" applyAlignment="1">
      <alignment horizontal="center"/>
    </xf>
    <xf numFmtId="175" fontId="55" fillId="0" borderId="40" xfId="26" applyNumberFormat="1" applyFont="1" applyFill="1" applyBorder="1" applyAlignment="1">
      <alignment horizontal="center"/>
    </xf>
    <xf numFmtId="175" fontId="55" fillId="0" borderId="42" xfId="26" applyNumberFormat="1" applyFont="1" applyFill="1" applyBorder="1" applyAlignment="1">
      <alignment horizontal="center"/>
    </xf>
    <xf numFmtId="175" fontId="55" fillId="0" borderId="43" xfId="26" applyNumberFormat="1" applyFont="1" applyFill="1" applyBorder="1" applyAlignment="1">
      <alignment horizontal="center"/>
    </xf>
    <xf numFmtId="168" fontId="53" fillId="0" borderId="1" xfId="7" applyNumberFormat="1" applyFont="1" applyFill="1" applyBorder="1" applyAlignment="1"/>
    <xf numFmtId="0" fontId="32" fillId="0" borderId="45" xfId="7" applyFont="1" applyFill="1" applyBorder="1" applyAlignment="1">
      <alignment horizontal="center" vertical="center"/>
    </xf>
    <xf numFmtId="0" fontId="32" fillId="0" borderId="46" xfId="7" applyFont="1" applyFill="1" applyBorder="1" applyAlignment="1">
      <alignment horizontal="center" vertical="center"/>
    </xf>
    <xf numFmtId="0" fontId="32" fillId="0" borderId="47" xfId="7" applyFont="1" applyFill="1" applyBorder="1" applyAlignment="1">
      <alignment horizontal="center" vertical="center"/>
    </xf>
    <xf numFmtId="0" fontId="56" fillId="0" borderId="45" xfId="0" applyFont="1" applyFill="1" applyBorder="1" applyAlignment="1">
      <alignment horizontal="left" vertical="center" wrapText="1"/>
    </xf>
    <xf numFmtId="0" fontId="56" fillId="0" borderId="46" xfId="0" applyFont="1" applyFill="1" applyBorder="1" applyAlignment="1">
      <alignment horizontal="left" vertical="center" wrapText="1"/>
    </xf>
    <xf numFmtId="0" fontId="56" fillId="0" borderId="47" xfId="0" applyFont="1" applyFill="1" applyBorder="1" applyAlignment="1">
      <alignment horizontal="left" vertical="center" wrapText="1"/>
    </xf>
    <xf numFmtId="175" fontId="32" fillId="0" borderId="45" xfId="26" applyNumberFormat="1" applyFont="1" applyFill="1" applyBorder="1" applyAlignment="1">
      <alignment horizontal="right" vertical="distributed"/>
    </xf>
    <xf numFmtId="175" fontId="32" fillId="0" borderId="47" xfId="26" applyNumberFormat="1" applyFont="1" applyFill="1" applyBorder="1" applyAlignment="1">
      <alignment horizontal="right" vertical="distributed"/>
    </xf>
    <xf numFmtId="175" fontId="53" fillId="0" borderId="45" xfId="26" applyNumberFormat="1" applyFont="1" applyFill="1" applyBorder="1" applyAlignment="1">
      <alignment horizontal="center"/>
    </xf>
    <xf numFmtId="175" fontId="53" fillId="0" borderId="47" xfId="26" applyNumberFormat="1" applyFont="1" applyFill="1" applyBorder="1" applyAlignment="1">
      <alignment horizontal="center"/>
    </xf>
    <xf numFmtId="175" fontId="53" fillId="0" borderId="39" xfId="26" applyNumberFormat="1" applyFont="1" applyFill="1" applyBorder="1" applyAlignment="1">
      <alignment horizontal="center"/>
    </xf>
    <xf numFmtId="175" fontId="53" fillId="0" borderId="40" xfId="26" applyNumberFormat="1" applyFont="1" applyFill="1" applyBorder="1" applyAlignment="1">
      <alignment horizontal="center"/>
    </xf>
    <xf numFmtId="175" fontId="53" fillId="0" borderId="42" xfId="26" applyNumberFormat="1" applyFont="1" applyFill="1" applyBorder="1" applyAlignment="1">
      <alignment horizontal="center"/>
    </xf>
    <xf numFmtId="175" fontId="53" fillId="0" borderId="43" xfId="26" applyNumberFormat="1" applyFont="1" applyFill="1" applyBorder="1" applyAlignment="1">
      <alignment horizontal="center"/>
    </xf>
    <xf numFmtId="0" fontId="25" fillId="0" borderId="39" xfId="7" applyFont="1" applyFill="1" applyBorder="1" applyAlignment="1">
      <alignment horizontal="center" vertical="center"/>
    </xf>
    <xf numFmtId="0" fontId="25" fillId="0" borderId="27" xfId="7" applyFont="1" applyFill="1" applyBorder="1" applyAlignment="1">
      <alignment horizontal="center" vertical="center"/>
    </xf>
    <xf numFmtId="0" fontId="25" fillId="0" borderId="40" xfId="7" applyFont="1" applyFill="1" applyBorder="1" applyAlignment="1">
      <alignment horizontal="center" vertical="center"/>
    </xf>
    <xf numFmtId="0" fontId="25" fillId="0" borderId="42" xfId="7" applyFont="1" applyFill="1" applyBorder="1" applyAlignment="1">
      <alignment horizontal="center" vertical="center"/>
    </xf>
    <xf numFmtId="0" fontId="25" fillId="0" borderId="38" xfId="7" applyFont="1" applyFill="1" applyBorder="1" applyAlignment="1">
      <alignment horizontal="center" vertical="center"/>
    </xf>
    <xf numFmtId="0" fontId="25" fillId="0" borderId="43" xfId="7" applyFont="1" applyFill="1" applyBorder="1" applyAlignment="1">
      <alignment horizontal="center" vertical="center"/>
    </xf>
    <xf numFmtId="0" fontId="56" fillId="0" borderId="39" xfId="0" applyFont="1" applyFill="1" applyBorder="1" applyAlignment="1">
      <alignment horizontal="left" wrapText="1"/>
    </xf>
    <xf numFmtId="0" fontId="56" fillId="0" borderId="27" xfId="0" applyFont="1" applyFill="1" applyBorder="1" applyAlignment="1">
      <alignment horizontal="left" wrapText="1"/>
    </xf>
    <xf numFmtId="0" fontId="56" fillId="0" borderId="40" xfId="0" applyFont="1" applyFill="1" applyBorder="1" applyAlignment="1">
      <alignment horizontal="left" wrapText="1"/>
    </xf>
    <xf numFmtId="0" fontId="56" fillId="0" borderId="42" xfId="0" applyFont="1" applyFill="1" applyBorder="1" applyAlignment="1">
      <alignment horizontal="left" wrapText="1"/>
    </xf>
    <xf numFmtId="0" fontId="56" fillId="0" borderId="38" xfId="0" applyFont="1" applyFill="1" applyBorder="1" applyAlignment="1">
      <alignment horizontal="left" wrapText="1"/>
    </xf>
    <xf numFmtId="0" fontId="56" fillId="0" borderId="43" xfId="0" applyFont="1" applyFill="1" applyBorder="1" applyAlignment="1">
      <alignment horizontal="left" wrapText="1"/>
    </xf>
    <xf numFmtId="174" fontId="53" fillId="0" borderId="1" xfId="7" applyNumberFormat="1" applyFont="1" applyFill="1" applyBorder="1" applyAlignment="1"/>
    <xf numFmtId="175" fontId="32" fillId="0" borderId="39" xfId="26" applyNumberFormat="1" applyFont="1" applyFill="1" applyBorder="1" applyAlignment="1">
      <alignment horizontal="right" vertical="distributed"/>
    </xf>
    <xf numFmtId="175" fontId="32" fillId="0" borderId="40" xfId="26" applyNumberFormat="1" applyFont="1" applyFill="1" applyBorder="1" applyAlignment="1">
      <alignment horizontal="right" vertical="distributed"/>
    </xf>
    <xf numFmtId="175" fontId="32" fillId="0" borderId="42" xfId="26" applyNumberFormat="1" applyFont="1" applyFill="1" applyBorder="1" applyAlignment="1">
      <alignment horizontal="right" vertical="distributed"/>
    </xf>
    <xf numFmtId="175" fontId="32" fillId="0" borderId="43" xfId="26" applyNumberFormat="1" applyFont="1" applyFill="1" applyBorder="1" applyAlignment="1">
      <alignment horizontal="right" vertical="distributed"/>
    </xf>
    <xf numFmtId="0" fontId="32" fillId="0" borderId="46" xfId="7" applyFont="1" applyFill="1" applyBorder="1" applyAlignment="1">
      <alignment horizontal="center"/>
    </xf>
    <xf numFmtId="0" fontId="32" fillId="0" borderId="45" xfId="7" applyFont="1" applyFill="1" applyBorder="1" applyAlignment="1">
      <alignment horizontal="left" vertical="center"/>
    </xf>
    <xf numFmtId="0" fontId="32" fillId="0" borderId="46" xfId="7" applyFont="1" applyFill="1" applyBorder="1" applyAlignment="1">
      <alignment horizontal="left" vertical="center"/>
    </xf>
    <xf numFmtId="0" fontId="32" fillId="0" borderId="47" xfId="7" applyFont="1" applyFill="1" applyBorder="1" applyAlignment="1">
      <alignment horizontal="left" vertical="center"/>
    </xf>
    <xf numFmtId="0" fontId="25" fillId="0" borderId="39" xfId="7" applyFont="1" applyFill="1" applyBorder="1" applyAlignment="1">
      <alignment horizontal="left" vertical="center"/>
    </xf>
    <xf numFmtId="0" fontId="25" fillId="0" borderId="27" xfId="7" applyFont="1" applyFill="1" applyBorder="1" applyAlignment="1">
      <alignment horizontal="left" vertical="center"/>
    </xf>
    <xf numFmtId="0" fontId="25" fillId="0" borderId="40" xfId="7" applyFont="1" applyFill="1" applyBorder="1" applyAlignment="1">
      <alignment horizontal="left" vertical="center"/>
    </xf>
    <xf numFmtId="0" fontId="25" fillId="0" borderId="42" xfId="7" applyFont="1" applyFill="1" applyBorder="1" applyAlignment="1">
      <alignment horizontal="left" vertical="center"/>
    </xf>
    <xf numFmtId="0" fontId="25" fillId="0" borderId="38" xfId="7" applyFont="1" applyFill="1" applyBorder="1" applyAlignment="1">
      <alignment horizontal="left" vertical="center"/>
    </xf>
    <xf numFmtId="0" fontId="25" fillId="0" borderId="43" xfId="7" applyFont="1" applyFill="1" applyBorder="1" applyAlignment="1">
      <alignment horizontal="left" vertical="center"/>
    </xf>
    <xf numFmtId="175" fontId="32" fillId="8" borderId="45" xfId="26" applyNumberFormat="1" applyFont="1" applyFill="1" applyBorder="1" applyAlignment="1">
      <alignment horizontal="right" vertical="distributed"/>
    </xf>
    <xf numFmtId="175" fontId="32" fillId="8" borderId="47" xfId="26" applyNumberFormat="1" applyFont="1" applyFill="1" applyBorder="1" applyAlignment="1">
      <alignment horizontal="right" vertical="distributed"/>
    </xf>
    <xf numFmtId="175" fontId="53" fillId="8" borderId="45" xfId="26" applyNumberFormat="1" applyFont="1" applyFill="1" applyBorder="1" applyAlignment="1">
      <alignment horizontal="center"/>
    </xf>
    <xf numFmtId="175" fontId="53" fillId="8" borderId="47" xfId="26" applyNumberFormat="1" applyFont="1" applyFill="1" applyBorder="1" applyAlignment="1">
      <alignment horizontal="center"/>
    </xf>
    <xf numFmtId="0" fontId="32" fillId="0" borderId="48" xfId="7" applyFont="1" applyFill="1" applyBorder="1" applyAlignment="1">
      <alignment horizontal="center" vertical="center"/>
    </xf>
    <xf numFmtId="0" fontId="32" fillId="0" borderId="0" xfId="7" applyFont="1" applyFill="1" applyBorder="1" applyAlignment="1">
      <alignment horizontal="center" vertical="center"/>
    </xf>
    <xf numFmtId="0" fontId="32" fillId="0" borderId="11" xfId="7" applyFont="1" applyFill="1" applyBorder="1" applyAlignment="1">
      <alignment horizontal="center" vertical="center"/>
    </xf>
    <xf numFmtId="175" fontId="32" fillId="0" borderId="48" xfId="26" applyNumberFormat="1" applyFont="1" applyFill="1" applyBorder="1" applyAlignment="1">
      <alignment horizontal="right" vertical="distributed"/>
    </xf>
    <xf numFmtId="175" fontId="32" fillId="0" borderId="11" xfId="26" applyNumberFormat="1" applyFont="1" applyFill="1" applyBorder="1" applyAlignment="1">
      <alignment horizontal="right" vertical="distributed"/>
    </xf>
    <xf numFmtId="175" fontId="53" fillId="0" borderId="48" xfId="26" applyNumberFormat="1" applyFont="1" applyFill="1" applyBorder="1" applyAlignment="1">
      <alignment horizontal="center"/>
    </xf>
    <xf numFmtId="175" fontId="53" fillId="0" borderId="11" xfId="26" applyNumberFormat="1" applyFont="1" applyFill="1" applyBorder="1" applyAlignment="1">
      <alignment horizontal="center"/>
    </xf>
    <xf numFmtId="0" fontId="25" fillId="0" borderId="48" xfId="7" applyFont="1" applyFill="1" applyBorder="1" applyAlignment="1">
      <alignment horizontal="center" vertical="center"/>
    </xf>
    <xf numFmtId="0" fontId="25" fillId="0" borderId="0" xfId="7" applyFont="1" applyFill="1" applyBorder="1" applyAlignment="1">
      <alignment horizontal="center" vertical="center"/>
    </xf>
    <xf numFmtId="0" fontId="25" fillId="0" borderId="11" xfId="7" applyFont="1" applyFill="1" applyBorder="1" applyAlignment="1">
      <alignment horizontal="center" vertical="center"/>
    </xf>
    <xf numFmtId="176" fontId="25" fillId="0" borderId="39" xfId="26" applyNumberFormat="1" applyFont="1" applyFill="1" applyBorder="1" applyAlignment="1">
      <alignment horizontal="distributed" vertical="distributed"/>
    </xf>
    <xf numFmtId="176" fontId="25" fillId="0" borderId="40" xfId="26" applyNumberFormat="1" applyFont="1" applyFill="1" applyBorder="1" applyAlignment="1">
      <alignment horizontal="distributed" vertical="distributed"/>
    </xf>
    <xf numFmtId="176" fontId="25" fillId="0" borderId="48" xfId="26" applyNumberFormat="1" applyFont="1" applyFill="1" applyBorder="1" applyAlignment="1">
      <alignment horizontal="distributed" vertical="distributed"/>
    </xf>
    <xf numFmtId="176" fontId="25" fillId="0" borderId="11" xfId="26" applyNumberFormat="1" applyFont="1" applyFill="1" applyBorder="1" applyAlignment="1">
      <alignment horizontal="distributed" vertical="distributed"/>
    </xf>
    <xf numFmtId="176" fontId="25" fillId="0" borderId="42" xfId="26" applyNumberFormat="1" applyFont="1" applyFill="1" applyBorder="1" applyAlignment="1">
      <alignment horizontal="distributed" vertical="distributed"/>
    </xf>
    <xf numFmtId="176" fontId="25" fillId="0" borderId="43" xfId="26" applyNumberFormat="1" applyFont="1" applyFill="1" applyBorder="1" applyAlignment="1">
      <alignment horizontal="distributed" vertical="distributed"/>
    </xf>
    <xf numFmtId="174" fontId="53" fillId="0" borderId="1" xfId="25" applyNumberFormat="1" applyFont="1" applyFill="1" applyBorder="1" applyAlignment="1"/>
    <xf numFmtId="176" fontId="55" fillId="0" borderId="39" xfId="26" applyNumberFormat="1" applyFont="1" applyFill="1" applyBorder="1" applyAlignment="1">
      <alignment horizontal="center"/>
    </xf>
    <xf numFmtId="176" fontId="55" fillId="0" borderId="40" xfId="26" applyNumberFormat="1" applyFont="1" applyFill="1" applyBorder="1" applyAlignment="1">
      <alignment horizontal="center"/>
    </xf>
    <xf numFmtId="176" fontId="55" fillId="0" borderId="48" xfId="26" applyNumberFormat="1" applyFont="1" applyFill="1" applyBorder="1" applyAlignment="1">
      <alignment horizontal="center"/>
    </xf>
    <xf numFmtId="176" fontId="55" fillId="0" borderId="11" xfId="26" applyNumberFormat="1" applyFont="1" applyFill="1" applyBorder="1" applyAlignment="1">
      <alignment horizontal="center"/>
    </xf>
    <xf numFmtId="176" fontId="55" fillId="0" borderId="42" xfId="26" applyNumberFormat="1" applyFont="1" applyFill="1" applyBorder="1" applyAlignment="1">
      <alignment horizontal="center"/>
    </xf>
    <xf numFmtId="176" fontId="55" fillId="0" borderId="43" xfId="26" applyNumberFormat="1" applyFont="1" applyFill="1" applyBorder="1" applyAlignment="1">
      <alignment horizontal="center"/>
    </xf>
    <xf numFmtId="176" fontId="32" fillId="0" borderId="39" xfId="26" applyNumberFormat="1" applyFont="1" applyFill="1" applyBorder="1" applyAlignment="1">
      <alignment horizontal="distributed" vertical="distributed"/>
    </xf>
    <xf numFmtId="176" fontId="32" fillId="0" borderId="40" xfId="26" applyNumberFormat="1" applyFont="1" applyFill="1" applyBorder="1" applyAlignment="1">
      <alignment horizontal="distributed" vertical="distributed"/>
    </xf>
    <xf numFmtId="176" fontId="32" fillId="0" borderId="48" xfId="26" applyNumberFormat="1" applyFont="1" applyFill="1" applyBorder="1" applyAlignment="1">
      <alignment horizontal="distributed" vertical="distributed"/>
    </xf>
    <xf numFmtId="176" fontId="32" fillId="0" borderId="11" xfId="26" applyNumberFormat="1" applyFont="1" applyFill="1" applyBorder="1" applyAlignment="1">
      <alignment horizontal="distributed" vertical="distributed"/>
    </xf>
    <xf numFmtId="176" fontId="32" fillId="0" borderId="42" xfId="26" applyNumberFormat="1" applyFont="1" applyFill="1" applyBorder="1" applyAlignment="1">
      <alignment horizontal="distributed" vertical="distributed"/>
    </xf>
    <xf numFmtId="176" fontId="32" fillId="0" borderId="43" xfId="26" applyNumberFormat="1" applyFont="1" applyFill="1" applyBorder="1" applyAlignment="1">
      <alignment horizontal="distributed" vertical="distributed"/>
    </xf>
    <xf numFmtId="176" fontId="53" fillId="0" borderId="39" xfId="26" applyNumberFormat="1" applyFont="1" applyFill="1" applyBorder="1" applyAlignment="1">
      <alignment horizontal="right"/>
    </xf>
    <xf numFmtId="176" fontId="53" fillId="0" borderId="40" xfId="26" applyNumberFormat="1" applyFont="1" applyFill="1" applyBorder="1" applyAlignment="1">
      <alignment horizontal="right"/>
    </xf>
    <xf numFmtId="176" fontId="53" fillId="0" borderId="48" xfId="26" applyNumberFormat="1" applyFont="1" applyFill="1" applyBorder="1" applyAlignment="1">
      <alignment horizontal="right"/>
    </xf>
    <xf numFmtId="176" fontId="53" fillId="0" borderId="11" xfId="26" applyNumberFormat="1" applyFont="1" applyFill="1" applyBorder="1" applyAlignment="1">
      <alignment horizontal="right"/>
    </xf>
    <xf numFmtId="176" fontId="53" fillId="0" borderId="42" xfId="26" applyNumberFormat="1" applyFont="1" applyFill="1" applyBorder="1" applyAlignment="1">
      <alignment horizontal="right"/>
    </xf>
    <xf numFmtId="176" fontId="53" fillId="0" borderId="43" xfId="26" applyNumberFormat="1" applyFont="1" applyFill="1" applyBorder="1" applyAlignment="1">
      <alignment horizontal="right"/>
    </xf>
    <xf numFmtId="168" fontId="53" fillId="0" borderId="24" xfId="25" applyNumberFormat="1" applyFont="1" applyFill="1" applyBorder="1" applyAlignment="1">
      <alignment horizontal="right"/>
    </xf>
    <xf numFmtId="168" fontId="53" fillId="0" borderId="35" xfId="25" applyNumberFormat="1" applyFont="1" applyFill="1" applyBorder="1" applyAlignment="1">
      <alignment horizontal="right"/>
    </xf>
    <xf numFmtId="168" fontId="53" fillId="0" borderId="21" xfId="25" applyNumberFormat="1" applyFont="1" applyFill="1" applyBorder="1" applyAlignment="1">
      <alignment horizontal="right"/>
    </xf>
    <xf numFmtId="168" fontId="53" fillId="0" borderId="23" xfId="25" applyNumberFormat="1" applyFont="1" applyFill="1" applyBorder="1" applyAlignment="1">
      <alignment horizontal="right"/>
    </xf>
    <xf numFmtId="168" fontId="53" fillId="0" borderId="36" xfId="25" applyNumberFormat="1" applyFont="1" applyFill="1" applyBorder="1" applyAlignment="1">
      <alignment horizontal="right"/>
    </xf>
    <xf numFmtId="168" fontId="53" fillId="0" borderId="2" xfId="25" applyNumberFormat="1" applyFont="1" applyFill="1" applyBorder="1" applyAlignment="1">
      <alignment horizontal="right"/>
    </xf>
    <xf numFmtId="168" fontId="53" fillId="0" borderId="23" xfId="25" applyNumberFormat="1" applyFont="1" applyFill="1" applyBorder="1" applyAlignment="1"/>
    <xf numFmtId="168" fontId="53" fillId="0" borderId="36" xfId="25" applyNumberFormat="1" applyFont="1" applyFill="1" applyBorder="1" applyAlignment="1"/>
    <xf numFmtId="168" fontId="53" fillId="0" borderId="2" xfId="25" applyNumberFormat="1" applyFont="1" applyFill="1" applyBorder="1" applyAlignment="1"/>
    <xf numFmtId="176" fontId="55" fillId="0" borderId="39" xfId="26" applyNumberFormat="1" applyFont="1" applyFill="1" applyBorder="1" applyAlignment="1">
      <alignment horizontal="right"/>
    </xf>
    <xf numFmtId="176" fontId="55" fillId="0" borderId="40" xfId="26" applyNumberFormat="1" applyFont="1" applyFill="1" applyBorder="1" applyAlignment="1">
      <alignment horizontal="right"/>
    </xf>
    <xf numFmtId="176" fontId="55" fillId="0" borderId="42" xfId="26" applyNumberFormat="1" applyFont="1" applyFill="1" applyBorder="1" applyAlignment="1">
      <alignment horizontal="right"/>
    </xf>
    <xf numFmtId="176" fontId="55" fillId="0" borderId="43" xfId="26" applyNumberFormat="1" applyFont="1" applyFill="1" applyBorder="1" applyAlignment="1">
      <alignment horizontal="right"/>
    </xf>
    <xf numFmtId="0" fontId="32" fillId="0" borderId="49" xfId="7" applyFont="1" applyFill="1" applyBorder="1" applyAlignment="1">
      <alignment horizontal="center" vertical="center"/>
    </xf>
    <xf numFmtId="0" fontId="32" fillId="0" borderId="10" xfId="7" applyFont="1" applyFill="1" applyBorder="1" applyAlignment="1">
      <alignment horizontal="center" vertical="center"/>
    </xf>
    <xf numFmtId="0" fontId="32" fillId="0" borderId="17" xfId="7" applyFont="1" applyFill="1" applyBorder="1" applyAlignment="1">
      <alignment horizontal="center" vertical="center"/>
    </xf>
    <xf numFmtId="0" fontId="12" fillId="0" borderId="40" xfId="0" applyFont="1" applyFill="1" applyBorder="1" applyAlignment="1">
      <alignment horizontal="distributed" vertical="distributed"/>
    </xf>
    <xf numFmtId="0" fontId="12" fillId="0" borderId="48" xfId="0" applyFont="1" applyFill="1" applyBorder="1" applyAlignment="1">
      <alignment horizontal="distributed" vertical="distributed"/>
    </xf>
    <xf numFmtId="0" fontId="12" fillId="0" borderId="11" xfId="0" applyFont="1" applyFill="1" applyBorder="1" applyAlignment="1">
      <alignment horizontal="distributed" vertical="distributed"/>
    </xf>
    <xf numFmtId="0" fontId="12" fillId="0" borderId="49" xfId="0" applyFont="1" applyFill="1" applyBorder="1" applyAlignment="1">
      <alignment horizontal="distributed" vertical="distributed"/>
    </xf>
    <xf numFmtId="0" fontId="12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2" fillId="0" borderId="53" xfId="7" applyFont="1" applyFill="1" applyBorder="1" applyAlignment="1">
      <alignment horizontal="center"/>
    </xf>
    <xf numFmtId="0" fontId="32" fillId="0" borderId="54" xfId="7" applyFont="1" applyFill="1" applyBorder="1" applyAlignment="1">
      <alignment horizontal="center"/>
    </xf>
    <xf numFmtId="0" fontId="32" fillId="0" borderId="55" xfId="7" applyFont="1" applyFill="1" applyBorder="1" applyAlignment="1">
      <alignment horizontal="center"/>
    </xf>
    <xf numFmtId="176" fontId="32" fillId="0" borderId="53" xfId="26" applyNumberFormat="1" applyFont="1" applyFill="1" applyBorder="1" applyAlignment="1">
      <alignment horizontal="distributed" vertical="distributed"/>
    </xf>
    <xf numFmtId="176" fontId="32" fillId="0" borderId="55" xfId="26" applyNumberFormat="1" applyFont="1" applyFill="1" applyBorder="1" applyAlignment="1">
      <alignment horizontal="distributed" vertical="distributed"/>
    </xf>
    <xf numFmtId="176" fontId="53" fillId="0" borderId="53" xfId="26" applyNumberFormat="1" applyFont="1" applyFill="1" applyBorder="1" applyAlignment="1">
      <alignment horizontal="center"/>
    </xf>
    <xf numFmtId="176" fontId="53" fillId="0" borderId="55" xfId="26" applyNumberFormat="1" applyFont="1" applyFill="1" applyBorder="1" applyAlignment="1">
      <alignment horizontal="center"/>
    </xf>
    <xf numFmtId="0" fontId="32" fillId="0" borderId="50" xfId="7" applyFont="1" applyFill="1" applyBorder="1" applyAlignment="1">
      <alignment horizontal="center" vertical="center"/>
    </xf>
    <xf numFmtId="0" fontId="32" fillId="0" borderId="51" xfId="7" applyFont="1" applyFill="1" applyBorder="1" applyAlignment="1">
      <alignment horizontal="center" vertical="center"/>
    </xf>
    <xf numFmtId="0" fontId="32" fillId="0" borderId="52" xfId="7" applyFont="1" applyFill="1" applyBorder="1" applyAlignment="1">
      <alignment horizontal="center" vertical="center"/>
    </xf>
    <xf numFmtId="176" fontId="32" fillId="0" borderId="50" xfId="26" applyNumberFormat="1" applyFont="1" applyFill="1" applyBorder="1" applyAlignment="1">
      <alignment horizontal="distributed" vertical="distributed"/>
    </xf>
    <xf numFmtId="0" fontId="12" fillId="0" borderId="52" xfId="0" applyFont="1" applyFill="1" applyBorder="1" applyAlignment="1">
      <alignment horizontal="distributed" vertical="distributed"/>
    </xf>
    <xf numFmtId="176" fontId="53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6" fontId="55" fillId="0" borderId="49" xfId="26" applyNumberFormat="1" applyFont="1" applyFill="1" applyBorder="1" applyAlignment="1">
      <alignment horizontal="right"/>
    </xf>
    <xf numFmtId="176" fontId="55" fillId="0" borderId="17" xfId="26" applyNumberFormat="1" applyFont="1" applyFill="1" applyBorder="1" applyAlignment="1">
      <alignment horizontal="right"/>
    </xf>
    <xf numFmtId="174" fontId="53" fillId="0" borderId="2" xfId="25" applyNumberFormat="1" applyFont="1" applyFill="1" applyBorder="1" applyAlignment="1"/>
    <xf numFmtId="0" fontId="32" fillId="0" borderId="56" xfId="7" applyFont="1" applyFill="1" applyBorder="1" applyAlignment="1">
      <alignment horizontal="center" vertical="center"/>
    </xf>
    <xf numFmtId="0" fontId="32" fillId="0" borderId="16" xfId="7" applyFont="1" applyFill="1" applyBorder="1" applyAlignment="1">
      <alignment horizontal="center" vertical="center"/>
    </xf>
    <xf numFmtId="0" fontId="32" fillId="0" borderId="22" xfId="7" applyFont="1" applyFill="1" applyBorder="1" applyAlignment="1">
      <alignment horizontal="center" vertical="center"/>
    </xf>
    <xf numFmtId="176" fontId="32" fillId="0" borderId="56" xfId="26" applyNumberFormat="1" applyFont="1" applyFill="1" applyBorder="1" applyAlignment="1">
      <alignment horizontal="distributed" vertical="distributed"/>
    </xf>
    <xf numFmtId="176" fontId="32" fillId="0" borderId="22" xfId="26" applyNumberFormat="1" applyFont="1" applyFill="1" applyBorder="1" applyAlignment="1">
      <alignment horizontal="distributed" vertical="distributed"/>
    </xf>
    <xf numFmtId="0" fontId="32" fillId="0" borderId="39" xfId="7" applyFont="1" applyFill="1" applyBorder="1" applyAlignment="1">
      <alignment horizontal="left" wrapText="1"/>
    </xf>
    <xf numFmtId="0" fontId="32" fillId="0" borderId="27" xfId="7" applyFont="1" applyFill="1" applyBorder="1" applyAlignment="1">
      <alignment horizontal="left" wrapText="1"/>
    </xf>
    <xf numFmtId="0" fontId="32" fillId="0" borderId="40" xfId="7" applyFont="1" applyFill="1" applyBorder="1" applyAlignment="1">
      <alignment horizontal="left" wrapText="1"/>
    </xf>
    <xf numFmtId="0" fontId="32" fillId="0" borderId="42" xfId="7" applyFont="1" applyFill="1" applyBorder="1" applyAlignment="1">
      <alignment horizontal="left" wrapText="1"/>
    </xf>
    <xf numFmtId="0" fontId="32" fillId="0" borderId="38" xfId="7" applyFont="1" applyFill="1" applyBorder="1" applyAlignment="1">
      <alignment horizontal="left" wrapText="1"/>
    </xf>
    <xf numFmtId="0" fontId="32" fillId="0" borderId="43" xfId="7" applyFont="1" applyFill="1" applyBorder="1" applyAlignment="1">
      <alignment horizontal="left" wrapText="1"/>
    </xf>
    <xf numFmtId="176" fontId="53" fillId="0" borderId="49" xfId="26" applyNumberFormat="1" applyFont="1" applyFill="1" applyBorder="1" applyAlignment="1">
      <alignment horizontal="right"/>
    </xf>
    <xf numFmtId="176" fontId="53" fillId="0" borderId="17" xfId="26" applyNumberFormat="1" applyFont="1" applyFill="1" applyBorder="1" applyAlignment="1">
      <alignment horizontal="right"/>
    </xf>
    <xf numFmtId="3" fontId="32" fillId="0" borderId="45" xfId="7" applyNumberFormat="1" applyFont="1" applyFill="1" applyBorder="1" applyAlignment="1">
      <alignment horizontal="center" wrapText="1"/>
    </xf>
    <xf numFmtId="0" fontId="32" fillId="0" borderId="46" xfId="7" applyFont="1" applyFill="1" applyBorder="1" applyAlignment="1">
      <alignment horizontal="center" wrapText="1"/>
    </xf>
    <xf numFmtId="0" fontId="32" fillId="0" borderId="47" xfId="7" applyFont="1" applyFill="1" applyBorder="1" applyAlignment="1">
      <alignment horizontal="center" wrapText="1"/>
    </xf>
    <xf numFmtId="0" fontId="32" fillId="0" borderId="45" xfId="7" applyFont="1" applyFill="1" applyBorder="1" applyAlignment="1">
      <alignment horizontal="left" wrapText="1"/>
    </xf>
    <xf numFmtId="0" fontId="32" fillId="0" borderId="46" xfId="7" applyFont="1" applyFill="1" applyBorder="1" applyAlignment="1">
      <alignment horizontal="left" wrapText="1"/>
    </xf>
    <xf numFmtId="0" fontId="32" fillId="0" borderId="47" xfId="7" applyFont="1" applyFill="1" applyBorder="1" applyAlignment="1">
      <alignment horizontal="left" wrapText="1"/>
    </xf>
    <xf numFmtId="176" fontId="32" fillId="8" borderId="45" xfId="26" applyNumberFormat="1" applyFont="1" applyFill="1" applyBorder="1" applyAlignment="1">
      <alignment horizontal="right" vertical="distributed"/>
    </xf>
    <xf numFmtId="176" fontId="32" fillId="8" borderId="47" xfId="26" applyNumberFormat="1" applyFont="1" applyFill="1" applyBorder="1" applyAlignment="1">
      <alignment horizontal="right" vertical="distributed"/>
    </xf>
    <xf numFmtId="177" fontId="55" fillId="0" borderId="39" xfId="26" applyNumberFormat="1" applyFont="1" applyFill="1" applyBorder="1" applyAlignment="1">
      <alignment horizontal="right"/>
    </xf>
    <xf numFmtId="177" fontId="55" fillId="0" borderId="40" xfId="26" applyNumberFormat="1" applyFont="1" applyFill="1" applyBorder="1" applyAlignment="1">
      <alignment horizontal="right"/>
    </xf>
    <xf numFmtId="177" fontId="55" fillId="0" borderId="48" xfId="26" applyNumberFormat="1" applyFont="1" applyFill="1" applyBorder="1" applyAlignment="1">
      <alignment horizontal="right"/>
    </xf>
    <xf numFmtId="177" fontId="55" fillId="0" borderId="11" xfId="26" applyNumberFormat="1" applyFont="1" applyFill="1" applyBorder="1" applyAlignment="1">
      <alignment horizontal="right"/>
    </xf>
    <xf numFmtId="177" fontId="55" fillId="0" borderId="42" xfId="26" applyNumberFormat="1" applyFont="1" applyFill="1" applyBorder="1" applyAlignment="1">
      <alignment horizontal="right"/>
    </xf>
    <xf numFmtId="177" fontId="55" fillId="0" borderId="43" xfId="26" applyNumberFormat="1" applyFont="1" applyFill="1" applyBorder="1" applyAlignment="1">
      <alignment horizontal="right"/>
    </xf>
    <xf numFmtId="0" fontId="32" fillId="0" borderId="46" xfId="7" applyFont="1" applyFill="1" applyBorder="1" applyAlignment="1">
      <alignment horizontal="left"/>
    </xf>
    <xf numFmtId="0" fontId="32" fillId="0" borderId="47" xfId="7" applyFont="1" applyFill="1" applyBorder="1" applyAlignment="1">
      <alignment horizontal="left"/>
    </xf>
    <xf numFmtId="176" fontId="32" fillId="0" borderId="45" xfId="26" applyNumberFormat="1" applyFont="1" applyFill="1" applyBorder="1" applyAlignment="1">
      <alignment horizontal="right" vertical="distributed"/>
    </xf>
    <xf numFmtId="176" fontId="32" fillId="0" borderId="47" xfId="26" applyNumberFormat="1" applyFont="1" applyFill="1" applyBorder="1" applyAlignment="1">
      <alignment horizontal="right" vertical="distributed"/>
    </xf>
    <xf numFmtId="176" fontId="53" fillId="0" borderId="45" xfId="26" applyNumberFormat="1" applyFont="1" applyFill="1" applyBorder="1" applyAlignment="1">
      <alignment horizontal="right"/>
    </xf>
    <xf numFmtId="176" fontId="53" fillId="0" borderId="47" xfId="26" applyNumberFormat="1" applyFont="1" applyFill="1" applyBorder="1" applyAlignment="1">
      <alignment horizontal="right"/>
    </xf>
    <xf numFmtId="0" fontId="25" fillId="0" borderId="48" xfId="7" applyFont="1" applyFill="1" applyBorder="1" applyAlignment="1">
      <alignment horizontal="center"/>
    </xf>
    <xf numFmtId="0" fontId="25" fillId="0" borderId="0" xfId="7" applyFont="1" applyFill="1" applyBorder="1" applyAlignment="1">
      <alignment horizontal="center"/>
    </xf>
    <xf numFmtId="0" fontId="25" fillId="0" borderId="11" xfId="7" applyFont="1" applyFill="1" applyBorder="1" applyAlignment="1">
      <alignment horizontal="center"/>
    </xf>
    <xf numFmtId="43" fontId="32" fillId="0" borderId="45" xfId="26" applyFont="1" applyFill="1" applyBorder="1" applyAlignment="1">
      <alignment horizontal="right" vertical="distributed"/>
    </xf>
    <xf numFmtId="43" fontId="32" fillId="0" borderId="47" xfId="26" applyFont="1" applyFill="1" applyBorder="1" applyAlignment="1">
      <alignment horizontal="right" vertical="distributed"/>
    </xf>
    <xf numFmtId="3" fontId="32" fillId="0" borderId="45" xfId="7" applyNumberFormat="1" applyFont="1" applyFill="1" applyBorder="1" applyAlignment="1">
      <alignment horizontal="center" vertical="center" wrapText="1"/>
    </xf>
    <xf numFmtId="0" fontId="32" fillId="0" borderId="46" xfId="7" applyFont="1" applyFill="1" applyBorder="1" applyAlignment="1">
      <alignment horizontal="center" vertical="center" wrapText="1"/>
    </xf>
    <xf numFmtId="0" fontId="32" fillId="0" borderId="47" xfId="7" applyFont="1" applyFill="1" applyBorder="1" applyAlignment="1">
      <alignment horizontal="center" vertical="center" wrapText="1"/>
    </xf>
    <xf numFmtId="0" fontId="32" fillId="0" borderId="45" xfId="0" applyFont="1" applyFill="1" applyBorder="1" applyAlignment="1">
      <alignment horizontal="left" wrapText="1"/>
    </xf>
    <xf numFmtId="0" fontId="32" fillId="0" borderId="46" xfId="0" applyFont="1" applyFill="1" applyBorder="1" applyAlignment="1">
      <alignment horizontal="left" wrapText="1"/>
    </xf>
    <xf numFmtId="0" fontId="32" fillId="0" borderId="47" xfId="0" applyFont="1" applyFill="1" applyBorder="1" applyAlignment="1">
      <alignment horizontal="left" wrapText="1"/>
    </xf>
    <xf numFmtId="168" fontId="32" fillId="0" borderId="45" xfId="7" applyNumberFormat="1" applyFont="1" applyFill="1" applyBorder="1" applyAlignment="1">
      <alignment horizontal="right" vertical="distributed"/>
    </xf>
    <xf numFmtId="168" fontId="32" fillId="0" borderId="47" xfId="7" applyNumberFormat="1" applyFont="1" applyFill="1" applyBorder="1" applyAlignment="1">
      <alignment horizontal="right" vertical="distributed"/>
    </xf>
    <xf numFmtId="168" fontId="53" fillId="0" borderId="45" xfId="7" applyNumberFormat="1" applyFont="1" applyFill="1" applyBorder="1" applyAlignment="1">
      <alignment horizontal="center"/>
    </xf>
    <xf numFmtId="168" fontId="53" fillId="0" borderId="47" xfId="7" applyNumberFormat="1" applyFont="1" applyFill="1" applyBorder="1" applyAlignment="1">
      <alignment horizontal="center"/>
    </xf>
    <xf numFmtId="0" fontId="32" fillId="0" borderId="45" xfId="7" applyNumberFormat="1" applyFont="1" applyFill="1" applyBorder="1" applyAlignment="1">
      <alignment horizontal="left" wrapText="1"/>
    </xf>
    <xf numFmtId="0" fontId="32" fillId="0" borderId="46" xfId="7" applyNumberFormat="1" applyFont="1" applyFill="1" applyBorder="1" applyAlignment="1">
      <alignment horizontal="left" wrapText="1"/>
    </xf>
    <xf numFmtId="0" fontId="32" fillId="0" borderId="47" xfId="7" applyNumberFormat="1" applyFont="1" applyFill="1" applyBorder="1" applyAlignment="1">
      <alignment horizontal="left" wrapText="1"/>
    </xf>
    <xf numFmtId="168" fontId="32" fillId="8" borderId="45" xfId="7" applyNumberFormat="1" applyFont="1" applyFill="1" applyBorder="1" applyAlignment="1">
      <alignment horizontal="right" vertical="distributed"/>
    </xf>
    <xf numFmtId="168" fontId="32" fillId="8" borderId="47" xfId="7" applyNumberFormat="1" applyFont="1" applyFill="1" applyBorder="1" applyAlignment="1">
      <alignment horizontal="right" vertical="distributed"/>
    </xf>
    <xf numFmtId="168" fontId="53" fillId="8" borderId="45" xfId="7" applyNumberFormat="1" applyFont="1" applyFill="1" applyBorder="1" applyAlignment="1">
      <alignment horizontal="center"/>
    </xf>
    <xf numFmtId="168" fontId="53" fillId="8" borderId="47" xfId="7" applyNumberFormat="1" applyFont="1" applyFill="1" applyBorder="1" applyAlignment="1">
      <alignment horizontal="center"/>
    </xf>
    <xf numFmtId="174" fontId="32" fillId="0" borderId="45" xfId="7" applyNumberFormat="1" applyFont="1" applyFill="1" applyBorder="1" applyAlignment="1">
      <alignment horizontal="right" vertical="distributed"/>
    </xf>
    <xf numFmtId="174" fontId="32" fillId="0" borderId="47" xfId="7" applyNumberFormat="1" applyFont="1" applyFill="1" applyBorder="1" applyAlignment="1">
      <alignment horizontal="right" vertical="distributed"/>
    </xf>
    <xf numFmtId="174" fontId="53" fillId="0" borderId="45" xfId="7" applyNumberFormat="1" applyFont="1" applyFill="1" applyBorder="1" applyAlignment="1">
      <alignment horizontal="center"/>
    </xf>
    <xf numFmtId="174" fontId="53" fillId="0" borderId="47" xfId="7" applyNumberFormat="1" applyFont="1" applyFill="1" applyBorder="1" applyAlignment="1">
      <alignment horizontal="center"/>
    </xf>
    <xf numFmtId="0" fontId="32" fillId="0" borderId="45" xfId="7" applyFont="1" applyFill="1" applyBorder="1" applyAlignment="1">
      <alignment wrapText="1"/>
    </xf>
    <xf numFmtId="0" fontId="32" fillId="0" borderId="46" xfId="7" applyFont="1" applyFill="1" applyBorder="1" applyAlignment="1">
      <alignment wrapText="1"/>
    </xf>
    <xf numFmtId="0" fontId="32" fillId="0" borderId="47" xfId="7" applyFont="1" applyFill="1" applyBorder="1" applyAlignment="1">
      <alignment wrapText="1"/>
    </xf>
    <xf numFmtId="176" fontId="53" fillId="0" borderId="45" xfId="26" applyNumberFormat="1" applyFont="1" applyFill="1" applyBorder="1" applyAlignment="1">
      <alignment horizontal="center"/>
    </xf>
    <xf numFmtId="176" fontId="53" fillId="0" borderId="47" xfId="26" applyNumberFormat="1" applyFont="1" applyFill="1" applyBorder="1" applyAlignment="1">
      <alignment horizontal="center"/>
    </xf>
    <xf numFmtId="176" fontId="25" fillId="8" borderId="39" xfId="26" applyNumberFormat="1" applyFont="1" applyFill="1" applyBorder="1" applyAlignment="1">
      <alignment horizontal="distributed" vertical="distributed"/>
    </xf>
    <xf numFmtId="176" fontId="25" fillId="8" borderId="40" xfId="26" applyNumberFormat="1" applyFont="1" applyFill="1" applyBorder="1" applyAlignment="1">
      <alignment horizontal="distributed" vertical="distributed"/>
    </xf>
    <xf numFmtId="176" fontId="25" fillId="8" borderId="42" xfId="26" applyNumberFormat="1" applyFont="1" applyFill="1" applyBorder="1" applyAlignment="1">
      <alignment horizontal="distributed" vertical="distributed"/>
    </xf>
    <xf numFmtId="176" fontId="25" fillId="8" borderId="43" xfId="26" applyNumberFormat="1" applyFont="1" applyFill="1" applyBorder="1" applyAlignment="1">
      <alignment horizontal="distributed" vertical="distributed"/>
    </xf>
    <xf numFmtId="176" fontId="32" fillId="0" borderId="45" xfId="26" applyNumberFormat="1" applyFont="1" applyFill="1" applyBorder="1" applyAlignment="1">
      <alignment horizontal="center" vertical="distributed"/>
    </xf>
    <xf numFmtId="176" fontId="32" fillId="0" borderId="47" xfId="26" applyNumberFormat="1" applyFont="1" applyFill="1" applyBorder="1" applyAlignment="1">
      <alignment horizontal="center" vertical="distributed"/>
    </xf>
    <xf numFmtId="43" fontId="53" fillId="0" borderId="45" xfId="26" applyFont="1" applyFill="1" applyBorder="1" applyAlignment="1">
      <alignment horizontal="center"/>
    </xf>
    <xf numFmtId="43" fontId="53" fillId="0" borderId="47" xfId="26" applyFont="1" applyFill="1" applyBorder="1" applyAlignment="1">
      <alignment horizontal="center"/>
    </xf>
    <xf numFmtId="174" fontId="53" fillId="0" borderId="23" xfId="25" applyNumberFormat="1" applyFont="1" applyFill="1" applyBorder="1" applyAlignment="1"/>
    <xf numFmtId="176" fontId="53" fillId="0" borderId="39" xfId="26" applyNumberFormat="1" applyFont="1" applyFill="1" applyBorder="1" applyAlignment="1">
      <alignment horizontal="center"/>
    </xf>
    <xf numFmtId="176" fontId="53" fillId="0" borderId="40" xfId="26" applyNumberFormat="1" applyFont="1" applyFill="1" applyBorder="1" applyAlignment="1">
      <alignment horizontal="center"/>
    </xf>
    <xf numFmtId="176" fontId="53" fillId="0" borderId="48" xfId="26" applyNumberFormat="1" applyFont="1" applyFill="1" applyBorder="1" applyAlignment="1">
      <alignment horizontal="center"/>
    </xf>
    <xf numFmtId="176" fontId="53" fillId="0" borderId="11" xfId="26" applyNumberFormat="1" applyFont="1" applyFill="1" applyBorder="1" applyAlignment="1">
      <alignment horizontal="center"/>
    </xf>
    <xf numFmtId="176" fontId="53" fillId="0" borderId="42" xfId="26" applyNumberFormat="1" applyFont="1" applyFill="1" applyBorder="1" applyAlignment="1">
      <alignment horizontal="center"/>
    </xf>
    <xf numFmtId="176" fontId="53" fillId="0" borderId="43" xfId="26" applyNumberFormat="1" applyFont="1" applyFill="1" applyBorder="1" applyAlignment="1">
      <alignment horizontal="center"/>
    </xf>
    <xf numFmtId="168" fontId="25" fillId="0" borderId="41" xfId="24" applyNumberFormat="1" applyFont="1" applyFill="1" applyBorder="1" applyAlignment="1"/>
    <xf numFmtId="168" fontId="25" fillId="0" borderId="44" xfId="24" applyNumberFormat="1" applyFont="1" applyFill="1" applyBorder="1" applyAlignment="1"/>
    <xf numFmtId="0" fontId="13" fillId="0" borderId="41" xfId="7" applyFont="1" applyFill="1" applyBorder="1" applyAlignment="1">
      <alignment horizontal="center"/>
    </xf>
    <xf numFmtId="0" fontId="13" fillId="0" borderId="44" xfId="7" applyFont="1" applyFill="1" applyBorder="1" applyAlignment="1">
      <alignment horizontal="center"/>
    </xf>
    <xf numFmtId="168" fontId="25" fillId="0" borderId="41" xfId="7" applyNumberFormat="1" applyFont="1" applyFill="1" applyBorder="1" applyAlignment="1"/>
    <xf numFmtId="168" fontId="25" fillId="0" borderId="44" xfId="7" applyNumberFormat="1" applyFont="1" applyFill="1" applyBorder="1" applyAlignment="1"/>
    <xf numFmtId="168" fontId="32" fillId="0" borderId="1" xfId="24" applyNumberFormat="1" applyFont="1" applyFill="1" applyBorder="1" applyAlignment="1">
      <alignment horizontal="right" vertical="distributed"/>
    </xf>
    <xf numFmtId="0" fontId="32" fillId="0" borderId="0" xfId="9" applyFont="1" applyFill="1" applyAlignment="1">
      <alignment horizontal="right" vertical="center"/>
    </xf>
    <xf numFmtId="0" fontId="37" fillId="0" borderId="0" xfId="9" applyFont="1" applyFill="1" applyAlignment="1">
      <alignment horizontal="right" vertical="center"/>
    </xf>
    <xf numFmtId="168" fontId="32" fillId="0" borderId="1" xfId="7" applyNumberFormat="1" applyFont="1" applyFill="1" applyBorder="1" applyAlignment="1">
      <alignment horizontal="right" vertical="distributed"/>
    </xf>
    <xf numFmtId="168" fontId="32" fillId="0" borderId="39" xfId="26" applyNumberFormat="1" applyFont="1" applyFill="1" applyBorder="1" applyAlignment="1">
      <alignment horizontal="right" vertical="distributed"/>
    </xf>
    <xf numFmtId="168" fontId="32" fillId="0" borderId="40" xfId="26" applyNumberFormat="1" applyFont="1" applyFill="1" applyBorder="1" applyAlignment="1">
      <alignment horizontal="right" vertical="distributed"/>
    </xf>
    <xf numFmtId="168" fontId="32" fillId="0" borderId="42" xfId="26" applyNumberFormat="1" applyFont="1" applyFill="1" applyBorder="1" applyAlignment="1">
      <alignment horizontal="right" vertical="distributed"/>
    </xf>
    <xf numFmtId="168" fontId="32" fillId="0" borderId="43" xfId="26" applyNumberFormat="1" applyFont="1" applyFill="1" applyBorder="1" applyAlignment="1">
      <alignment horizontal="right" vertical="distributed"/>
    </xf>
    <xf numFmtId="168" fontId="25" fillId="0" borderId="39" xfId="26" applyNumberFormat="1" applyFont="1" applyFill="1" applyBorder="1" applyAlignment="1">
      <alignment horizontal="right" vertical="distributed"/>
    </xf>
    <xf numFmtId="168" fontId="25" fillId="0" borderId="40" xfId="26" applyNumberFormat="1" applyFont="1" applyFill="1" applyBorder="1" applyAlignment="1">
      <alignment horizontal="right" vertical="distributed"/>
    </xf>
    <xf numFmtId="168" fontId="25" fillId="0" borderId="42" xfId="26" applyNumberFormat="1" applyFont="1" applyFill="1" applyBorder="1" applyAlignment="1">
      <alignment horizontal="right" vertical="distributed"/>
    </xf>
    <xf numFmtId="168" fontId="25" fillId="0" borderId="43" xfId="26" applyNumberFormat="1" applyFont="1" applyFill="1" applyBorder="1" applyAlignment="1">
      <alignment horizontal="right" vertical="distributed"/>
    </xf>
    <xf numFmtId="168" fontId="32" fillId="0" borderId="45" xfId="26" applyNumberFormat="1" applyFont="1" applyFill="1" applyBorder="1" applyAlignment="1">
      <alignment horizontal="right" vertical="distributed"/>
    </xf>
    <xf numFmtId="168" fontId="32" fillId="0" borderId="47" xfId="26" applyNumberFormat="1" applyFont="1" applyFill="1" applyBorder="1" applyAlignment="1">
      <alignment horizontal="right" vertical="distributed"/>
    </xf>
    <xf numFmtId="0" fontId="56" fillId="0" borderId="45" xfId="9" applyFont="1" applyFill="1" applyBorder="1" applyAlignment="1">
      <alignment horizontal="left" wrapText="1"/>
    </xf>
    <xf numFmtId="0" fontId="56" fillId="0" borderId="46" xfId="9" applyFont="1" applyFill="1" applyBorder="1" applyAlignment="1">
      <alignment horizontal="left" wrapText="1"/>
    </xf>
    <xf numFmtId="0" fontId="56" fillId="0" borderId="47" xfId="9" applyFont="1" applyFill="1" applyBorder="1" applyAlignment="1">
      <alignment horizontal="left" wrapText="1"/>
    </xf>
    <xf numFmtId="0" fontId="56" fillId="0" borderId="39" xfId="9" applyFont="1" applyFill="1" applyBorder="1" applyAlignment="1">
      <alignment horizontal="left" wrapText="1"/>
    </xf>
    <xf numFmtId="0" fontId="56" fillId="0" borderId="27" xfId="9" applyFont="1" applyFill="1" applyBorder="1" applyAlignment="1">
      <alignment horizontal="left" wrapText="1"/>
    </xf>
    <xf numFmtId="0" fontId="56" fillId="0" borderId="40" xfId="9" applyFont="1" applyFill="1" applyBorder="1" applyAlignment="1">
      <alignment horizontal="left" wrapText="1"/>
    </xf>
    <xf numFmtId="0" fontId="56" fillId="0" borderId="42" xfId="9" applyFont="1" applyFill="1" applyBorder="1" applyAlignment="1">
      <alignment horizontal="left" wrapText="1"/>
    </xf>
    <xf numFmtId="0" fontId="56" fillId="0" borderId="38" xfId="9" applyFont="1" applyFill="1" applyBorder="1" applyAlignment="1">
      <alignment horizontal="left" wrapText="1"/>
    </xf>
    <xf numFmtId="0" fontId="56" fillId="0" borderId="43" xfId="9" applyFont="1" applyFill="1" applyBorder="1" applyAlignment="1">
      <alignment horizontal="left" wrapText="1"/>
    </xf>
    <xf numFmtId="168" fontId="32" fillId="0" borderId="48" xfId="26" applyNumberFormat="1" applyFont="1" applyFill="1" applyBorder="1" applyAlignment="1">
      <alignment horizontal="right" vertical="distributed"/>
    </xf>
    <xf numFmtId="168" fontId="32" fillId="0" borderId="11" xfId="26" applyNumberFormat="1" applyFont="1" applyFill="1" applyBorder="1" applyAlignment="1">
      <alignment horizontal="right" vertical="distributed"/>
    </xf>
    <xf numFmtId="168" fontId="25" fillId="0" borderId="48" xfId="26" applyNumberFormat="1" applyFont="1" applyFill="1" applyBorder="1" applyAlignment="1">
      <alignment horizontal="right" vertical="distributed"/>
    </xf>
    <xf numFmtId="168" fontId="25" fillId="0" borderId="11" xfId="26" applyNumberFormat="1" applyFont="1" applyFill="1" applyBorder="1" applyAlignment="1">
      <alignment horizontal="right" vertical="distributed"/>
    </xf>
    <xf numFmtId="168" fontId="32" fillId="0" borderId="24" xfId="24" applyNumberFormat="1" applyFont="1" applyFill="1" applyBorder="1" applyAlignment="1">
      <alignment horizontal="right" vertical="distributed"/>
    </xf>
    <xf numFmtId="168" fontId="32" fillId="0" borderId="35" xfId="24" applyNumberFormat="1" applyFont="1" applyFill="1" applyBorder="1" applyAlignment="1">
      <alignment horizontal="right" vertical="distributed"/>
    </xf>
    <xf numFmtId="168" fontId="32" fillId="0" borderId="21" xfId="24" applyNumberFormat="1" applyFont="1" applyFill="1" applyBorder="1" applyAlignment="1">
      <alignment horizontal="right" vertical="distributed"/>
    </xf>
    <xf numFmtId="168" fontId="32" fillId="0" borderId="23" xfId="24" applyNumberFormat="1" applyFont="1" applyFill="1" applyBorder="1" applyAlignment="1">
      <alignment horizontal="right" vertical="distributed"/>
    </xf>
    <xf numFmtId="168" fontId="32" fillId="0" borderId="36" xfId="24" applyNumberFormat="1" applyFont="1" applyFill="1" applyBorder="1" applyAlignment="1">
      <alignment horizontal="right" vertical="distributed"/>
    </xf>
    <xf numFmtId="168" fontId="32" fillId="0" borderId="2" xfId="24" applyNumberFormat="1" applyFont="1" applyFill="1" applyBorder="1" applyAlignment="1">
      <alignment horizontal="right" vertical="distributed"/>
    </xf>
    <xf numFmtId="168" fontId="12" fillId="0" borderId="40" xfId="9" applyNumberFormat="1" applyFont="1" applyFill="1" applyBorder="1" applyAlignment="1">
      <alignment horizontal="right" vertical="distributed"/>
    </xf>
    <xf numFmtId="168" fontId="12" fillId="0" borderId="48" xfId="9" applyNumberFormat="1" applyFont="1" applyFill="1" applyBorder="1" applyAlignment="1">
      <alignment horizontal="right" vertical="distributed"/>
    </xf>
    <xf numFmtId="168" fontId="12" fillId="0" borderId="11" xfId="9" applyNumberFormat="1" applyFont="1" applyFill="1" applyBorder="1" applyAlignment="1">
      <alignment horizontal="right" vertical="distributed"/>
    </xf>
    <xf numFmtId="168" fontId="12" fillId="0" borderId="49" xfId="9" applyNumberFormat="1" applyFont="1" applyFill="1" applyBorder="1" applyAlignment="1">
      <alignment horizontal="right" vertical="distributed"/>
    </xf>
    <xf numFmtId="168" fontId="12" fillId="0" borderId="17" xfId="9" applyNumberFormat="1" applyFont="1" applyFill="1" applyBorder="1" applyAlignment="1">
      <alignment horizontal="right" vertical="distributed"/>
    </xf>
    <xf numFmtId="168" fontId="32" fillId="0" borderId="50" xfId="26" applyNumberFormat="1" applyFont="1" applyFill="1" applyBorder="1" applyAlignment="1">
      <alignment horizontal="right" vertical="distributed"/>
    </xf>
    <xf numFmtId="168" fontId="12" fillId="0" borderId="52" xfId="9" applyNumberFormat="1" applyFont="1" applyFill="1" applyBorder="1" applyAlignment="1">
      <alignment horizontal="right" vertical="distributed"/>
    </xf>
    <xf numFmtId="168" fontId="32" fillId="0" borderId="53" xfId="26" applyNumberFormat="1" applyFont="1" applyFill="1" applyBorder="1" applyAlignment="1">
      <alignment horizontal="right" vertical="distributed"/>
    </xf>
    <xf numFmtId="168" fontId="32" fillId="0" borderId="55" xfId="26" applyNumberFormat="1" applyFont="1" applyFill="1" applyBorder="1" applyAlignment="1">
      <alignment horizontal="right" vertical="distributed"/>
    </xf>
    <xf numFmtId="168" fontId="25" fillId="0" borderId="49" xfId="26" applyNumberFormat="1" applyFont="1" applyFill="1" applyBorder="1" applyAlignment="1">
      <alignment horizontal="right" vertical="distributed"/>
    </xf>
    <xf numFmtId="168" fontId="25" fillId="0" borderId="17" xfId="26" applyNumberFormat="1" applyFont="1" applyFill="1" applyBorder="1" applyAlignment="1">
      <alignment horizontal="right" vertical="distributed"/>
    </xf>
    <xf numFmtId="168" fontId="32" fillId="0" borderId="49" xfId="26" applyNumberFormat="1" applyFont="1" applyFill="1" applyBorder="1" applyAlignment="1">
      <alignment horizontal="right" vertical="distributed"/>
    </xf>
    <xf numFmtId="168" fontId="32" fillId="0" borderId="17" xfId="26" applyNumberFormat="1" applyFont="1" applyFill="1" applyBorder="1" applyAlignment="1">
      <alignment horizontal="right" vertical="distributed"/>
    </xf>
    <xf numFmtId="0" fontId="32" fillId="0" borderId="45" xfId="9" applyFont="1" applyFill="1" applyBorder="1" applyAlignment="1">
      <alignment horizontal="left" wrapText="1"/>
    </xf>
    <xf numFmtId="0" fontId="32" fillId="0" borderId="46" xfId="9" applyFont="1" applyFill="1" applyBorder="1" applyAlignment="1">
      <alignment horizontal="left" wrapText="1"/>
    </xf>
    <xf numFmtId="0" fontId="32" fillId="0" borderId="47" xfId="9" applyFont="1" applyFill="1" applyBorder="1" applyAlignment="1">
      <alignment horizontal="left" wrapText="1"/>
    </xf>
    <xf numFmtId="0" fontId="32" fillId="0" borderId="53" xfId="7" applyFont="1" applyFill="1" applyBorder="1" applyAlignment="1">
      <alignment horizontal="left" wrapText="1"/>
    </xf>
    <xf numFmtId="0" fontId="32" fillId="0" borderId="54" xfId="7" applyFont="1" applyFill="1" applyBorder="1" applyAlignment="1">
      <alignment horizontal="left" wrapText="1"/>
    </xf>
    <xf numFmtId="0" fontId="32" fillId="0" borderId="55" xfId="7" applyFont="1" applyFill="1" applyBorder="1" applyAlignment="1">
      <alignment horizontal="left" wrapText="1"/>
    </xf>
    <xf numFmtId="177" fontId="32" fillId="0" borderId="39" xfId="26" applyNumberFormat="1" applyFont="1" applyFill="1" applyBorder="1" applyAlignment="1">
      <alignment horizontal="distributed" vertical="distributed"/>
    </xf>
    <xf numFmtId="177" fontId="32" fillId="0" borderId="40" xfId="26" applyNumberFormat="1" applyFont="1" applyFill="1" applyBorder="1" applyAlignment="1">
      <alignment horizontal="distributed" vertical="distributed"/>
    </xf>
    <xf numFmtId="177" fontId="32" fillId="0" borderId="42" xfId="26" applyNumberFormat="1" applyFont="1" applyFill="1" applyBorder="1" applyAlignment="1">
      <alignment horizontal="distributed" vertical="distributed"/>
    </xf>
    <xf numFmtId="177" fontId="32" fillId="0" borderId="43" xfId="26" applyNumberFormat="1" applyFont="1" applyFill="1" applyBorder="1" applyAlignment="1">
      <alignment horizontal="distributed" vertical="distributed"/>
    </xf>
    <xf numFmtId="183" fontId="32" fillId="0" borderId="45" xfId="26" applyNumberFormat="1" applyFont="1" applyFill="1" applyBorder="1" applyAlignment="1">
      <alignment horizontal="right" vertical="distributed"/>
    </xf>
    <xf numFmtId="183" fontId="32" fillId="0" borderId="47" xfId="26" applyNumberFormat="1" applyFont="1" applyFill="1" applyBorder="1" applyAlignment="1">
      <alignment horizontal="right" vertical="distributed"/>
    </xf>
    <xf numFmtId="0" fontId="32" fillId="0" borderId="0" xfId="3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83" fontId="25" fillId="0" borderId="39" xfId="26" applyNumberFormat="1" applyFont="1" applyFill="1" applyBorder="1" applyAlignment="1">
      <alignment horizontal="right" vertical="distributed"/>
    </xf>
    <xf numFmtId="183" fontId="25" fillId="0" borderId="40" xfId="26" applyNumberFormat="1" applyFont="1" applyFill="1" applyBorder="1" applyAlignment="1">
      <alignment horizontal="right" vertical="distributed"/>
    </xf>
    <xf numFmtId="183" fontId="25" fillId="0" borderId="42" xfId="26" applyNumberFormat="1" applyFont="1" applyFill="1" applyBorder="1" applyAlignment="1">
      <alignment horizontal="right" vertical="distributed"/>
    </xf>
    <xf numFmtId="183" fontId="25" fillId="0" borderId="43" xfId="26" applyNumberFormat="1" applyFont="1" applyFill="1" applyBorder="1" applyAlignment="1">
      <alignment horizontal="right" vertical="distributed"/>
    </xf>
    <xf numFmtId="183" fontId="53" fillId="0" borderId="1" xfId="34" applyNumberFormat="1" applyFont="1" applyFill="1" applyBorder="1" applyAlignment="1"/>
    <xf numFmtId="183" fontId="55" fillId="0" borderId="39" xfId="26" applyNumberFormat="1" applyFont="1" applyFill="1" applyBorder="1" applyAlignment="1">
      <alignment horizontal="center"/>
    </xf>
    <xf numFmtId="183" fontId="55" fillId="0" borderId="40" xfId="26" applyNumberFormat="1" applyFont="1" applyFill="1" applyBorder="1" applyAlignment="1">
      <alignment horizontal="center"/>
    </xf>
    <xf numFmtId="183" fontId="55" fillId="0" borderId="42" xfId="26" applyNumberFormat="1" applyFont="1" applyFill="1" applyBorder="1" applyAlignment="1">
      <alignment horizontal="center"/>
    </xf>
    <xf numFmtId="183" fontId="55" fillId="0" borderId="43" xfId="26" applyNumberFormat="1" applyFont="1" applyFill="1" applyBorder="1" applyAlignment="1">
      <alignment horizontal="center"/>
    </xf>
    <xf numFmtId="168" fontId="53" fillId="0" borderId="41" xfId="34" applyNumberFormat="1" applyFont="1" applyFill="1" applyBorder="1" applyAlignment="1"/>
    <xf numFmtId="168" fontId="53" fillId="0" borderId="44" xfId="34" applyNumberFormat="1" applyFont="1" applyFill="1" applyBorder="1" applyAlignment="1"/>
    <xf numFmtId="168" fontId="32" fillId="0" borderId="0" xfId="9" applyNumberFormat="1" applyFont="1" applyFill="1" applyAlignment="1">
      <alignment horizontal="right" vertical="center"/>
    </xf>
    <xf numFmtId="183" fontId="53" fillId="0" borderId="1" xfId="7" applyNumberFormat="1" applyFont="1" applyFill="1" applyBorder="1" applyAlignment="1"/>
    <xf numFmtId="183" fontId="53" fillId="0" borderId="39" xfId="26" applyNumberFormat="1" applyFont="1" applyFill="1" applyBorder="1" applyAlignment="1">
      <alignment horizontal="center"/>
    </xf>
    <xf numFmtId="183" fontId="53" fillId="0" borderId="40" xfId="26" applyNumberFormat="1" applyFont="1" applyFill="1" applyBorder="1" applyAlignment="1">
      <alignment horizontal="center"/>
    </xf>
    <xf numFmtId="183" fontId="53" fillId="0" borderId="42" xfId="26" applyNumberFormat="1" applyFont="1" applyFill="1" applyBorder="1" applyAlignment="1">
      <alignment horizontal="center"/>
    </xf>
    <xf numFmtId="183" fontId="53" fillId="0" borderId="43" xfId="26" applyNumberFormat="1" applyFont="1" applyFill="1" applyBorder="1" applyAlignment="1">
      <alignment horizontal="center"/>
    </xf>
    <xf numFmtId="183" fontId="32" fillId="0" borderId="40" xfId="26" applyNumberFormat="1" applyFont="1" applyFill="1" applyBorder="1" applyAlignment="1">
      <alignment horizontal="right" vertical="distributed"/>
    </xf>
    <xf numFmtId="183" fontId="32" fillId="0" borderId="43" xfId="26" applyNumberFormat="1" applyFont="1" applyFill="1" applyBorder="1" applyAlignment="1">
      <alignment horizontal="right" vertical="distributed"/>
    </xf>
    <xf numFmtId="0" fontId="56" fillId="0" borderId="45" xfId="9" applyFont="1" applyFill="1" applyBorder="1" applyAlignment="1">
      <alignment horizontal="left" vertical="center" wrapText="1"/>
    </xf>
    <xf numFmtId="0" fontId="56" fillId="0" borderId="46" xfId="9" applyFont="1" applyFill="1" applyBorder="1" applyAlignment="1">
      <alignment horizontal="left" vertical="center" wrapText="1"/>
    </xf>
    <xf numFmtId="0" fontId="56" fillId="0" borderId="47" xfId="9" applyFont="1" applyFill="1" applyBorder="1" applyAlignment="1">
      <alignment horizontal="left" vertical="center" wrapText="1"/>
    </xf>
    <xf numFmtId="183" fontId="53" fillId="0" borderId="45" xfId="26" applyNumberFormat="1" applyFont="1" applyFill="1" applyBorder="1" applyAlignment="1">
      <alignment horizontal="center"/>
    </xf>
    <xf numFmtId="183" fontId="53" fillId="0" borderId="47" xfId="26" applyNumberFormat="1" applyFont="1" applyFill="1" applyBorder="1" applyAlignment="1">
      <alignment horizontal="center"/>
    </xf>
    <xf numFmtId="183" fontId="32" fillId="0" borderId="39" xfId="26" applyNumberFormat="1" applyFont="1" applyFill="1" applyBorder="1" applyAlignment="1">
      <alignment horizontal="right" vertical="distributed"/>
    </xf>
    <xf numFmtId="183" fontId="32" fillId="0" borderId="42" xfId="26" applyNumberFormat="1" applyFont="1" applyFill="1" applyBorder="1" applyAlignment="1">
      <alignment horizontal="right" vertical="distributed"/>
    </xf>
    <xf numFmtId="183" fontId="25" fillId="0" borderId="39" xfId="26" applyNumberFormat="1" applyFont="1" applyFill="1" applyBorder="1" applyAlignment="1">
      <alignment horizontal="distributed" vertical="distributed"/>
    </xf>
    <xf numFmtId="183" fontId="25" fillId="0" borderId="40" xfId="26" applyNumberFormat="1" applyFont="1" applyFill="1" applyBorder="1" applyAlignment="1">
      <alignment horizontal="distributed" vertical="distributed"/>
    </xf>
    <xf numFmtId="183" fontId="25" fillId="0" borderId="48" xfId="26" applyNumberFormat="1" applyFont="1" applyFill="1" applyBorder="1" applyAlignment="1">
      <alignment horizontal="distributed" vertical="distributed"/>
    </xf>
    <xf numFmtId="183" fontId="25" fillId="0" borderId="11" xfId="26" applyNumberFormat="1" applyFont="1" applyFill="1" applyBorder="1" applyAlignment="1">
      <alignment horizontal="distributed" vertical="distributed"/>
    </xf>
    <xf numFmtId="183" fontId="25" fillId="0" borderId="42" xfId="26" applyNumberFormat="1" applyFont="1" applyFill="1" applyBorder="1" applyAlignment="1">
      <alignment horizontal="distributed" vertical="distributed"/>
    </xf>
    <xf numFmtId="183" fontId="25" fillId="0" borderId="43" xfId="26" applyNumberFormat="1" applyFont="1" applyFill="1" applyBorder="1" applyAlignment="1">
      <alignment horizontal="distributed" vertical="distributed"/>
    </xf>
    <xf numFmtId="183" fontId="32" fillId="0" borderId="48" xfId="26" applyNumberFormat="1" applyFont="1" applyFill="1" applyBorder="1" applyAlignment="1">
      <alignment horizontal="right" vertical="distributed"/>
    </xf>
    <xf numFmtId="183" fontId="32" fillId="0" borderId="11" xfId="26" applyNumberFormat="1" applyFont="1" applyFill="1" applyBorder="1" applyAlignment="1">
      <alignment horizontal="right" vertical="distributed"/>
    </xf>
    <xf numFmtId="183" fontId="55" fillId="0" borderId="48" xfId="26" applyNumberFormat="1" applyFont="1" applyFill="1" applyBorder="1" applyAlignment="1">
      <alignment horizontal="center"/>
    </xf>
    <xf numFmtId="183" fontId="55" fillId="0" borderId="11" xfId="26" applyNumberFormat="1" applyFont="1" applyFill="1" applyBorder="1" applyAlignment="1">
      <alignment horizontal="center"/>
    </xf>
    <xf numFmtId="183" fontId="53" fillId="0" borderId="48" xfId="26" applyNumberFormat="1" applyFont="1" applyFill="1" applyBorder="1" applyAlignment="1">
      <alignment horizontal="center"/>
    </xf>
    <xf numFmtId="183" fontId="53" fillId="0" borderId="11" xfId="26" applyNumberFormat="1" applyFont="1" applyFill="1" applyBorder="1" applyAlignment="1">
      <alignment horizontal="center"/>
    </xf>
    <xf numFmtId="183" fontId="32" fillId="0" borderId="39" xfId="26" applyNumberFormat="1" applyFont="1" applyFill="1" applyBorder="1" applyAlignment="1">
      <alignment horizontal="distributed" vertical="distributed"/>
    </xf>
    <xf numFmtId="183" fontId="32" fillId="0" borderId="40" xfId="26" applyNumberFormat="1" applyFont="1" applyFill="1" applyBorder="1" applyAlignment="1">
      <alignment horizontal="distributed" vertical="distributed"/>
    </xf>
    <xf numFmtId="183" fontId="32" fillId="0" borderId="48" xfId="26" applyNumberFormat="1" applyFont="1" applyFill="1" applyBorder="1" applyAlignment="1">
      <alignment horizontal="distributed" vertical="distributed"/>
    </xf>
    <xf numFmtId="183" fontId="32" fillId="0" borderId="11" xfId="26" applyNumberFormat="1" applyFont="1" applyFill="1" applyBorder="1" applyAlignment="1">
      <alignment horizontal="distributed" vertical="distributed"/>
    </xf>
    <xf numFmtId="183" fontId="32" fillId="0" borderId="42" xfId="26" applyNumberFormat="1" applyFont="1" applyFill="1" applyBorder="1" applyAlignment="1">
      <alignment horizontal="distributed" vertical="distributed"/>
    </xf>
    <xf numFmtId="183" fontId="32" fillId="0" borderId="43" xfId="26" applyNumberFormat="1" applyFont="1" applyFill="1" applyBorder="1" applyAlignment="1">
      <alignment horizontal="distributed" vertical="distributed"/>
    </xf>
    <xf numFmtId="183" fontId="53" fillId="0" borderId="39" xfId="26" applyNumberFormat="1" applyFont="1" applyFill="1" applyBorder="1" applyAlignment="1">
      <alignment horizontal="right"/>
    </xf>
    <xf numFmtId="183" fontId="53" fillId="0" borderId="40" xfId="26" applyNumberFormat="1" applyFont="1" applyFill="1" applyBorder="1" applyAlignment="1">
      <alignment horizontal="right"/>
    </xf>
    <xf numFmtId="183" fontId="53" fillId="0" borderId="48" xfId="26" applyNumberFormat="1" applyFont="1" applyFill="1" applyBorder="1" applyAlignment="1">
      <alignment horizontal="right"/>
    </xf>
    <xf numFmtId="183" fontId="53" fillId="0" borderId="11" xfId="26" applyNumberFormat="1" applyFont="1" applyFill="1" applyBorder="1" applyAlignment="1">
      <alignment horizontal="right"/>
    </xf>
    <xf numFmtId="183" fontId="53" fillId="0" borderId="42" xfId="26" applyNumberFormat="1" applyFont="1" applyFill="1" applyBorder="1" applyAlignment="1">
      <alignment horizontal="right"/>
    </xf>
    <xf numFmtId="183" fontId="53" fillId="0" borderId="43" xfId="26" applyNumberFormat="1" applyFont="1" applyFill="1" applyBorder="1" applyAlignment="1">
      <alignment horizontal="right"/>
    </xf>
    <xf numFmtId="177" fontId="32" fillId="0" borderId="48" xfId="26" applyNumberFormat="1" applyFont="1" applyFill="1" applyBorder="1" applyAlignment="1">
      <alignment horizontal="distributed" vertical="distributed"/>
    </xf>
    <xf numFmtId="177" fontId="32" fillId="0" borderId="11" xfId="26" applyNumberFormat="1" applyFont="1" applyFill="1" applyBorder="1" applyAlignment="1">
      <alignment horizontal="distributed" vertical="distributed"/>
    </xf>
    <xf numFmtId="177" fontId="53" fillId="0" borderId="24" xfId="34" applyNumberFormat="1" applyFont="1" applyFill="1" applyBorder="1" applyAlignment="1">
      <alignment horizontal="right"/>
    </xf>
    <xf numFmtId="177" fontId="53" fillId="0" borderId="35" xfId="34" applyNumberFormat="1" applyFont="1" applyFill="1" applyBorder="1" applyAlignment="1">
      <alignment horizontal="right"/>
    </xf>
    <xf numFmtId="177" fontId="53" fillId="0" borderId="21" xfId="34" applyNumberFormat="1" applyFont="1" applyFill="1" applyBorder="1" applyAlignment="1">
      <alignment horizontal="right"/>
    </xf>
    <xf numFmtId="177" fontId="53" fillId="0" borderId="23" xfId="34" applyNumberFormat="1" applyFont="1" applyFill="1" applyBorder="1" applyAlignment="1">
      <alignment horizontal="right"/>
    </xf>
    <xf numFmtId="177" fontId="53" fillId="0" borderId="36" xfId="34" applyNumberFormat="1" applyFont="1" applyFill="1" applyBorder="1" applyAlignment="1">
      <alignment horizontal="right"/>
    </xf>
    <xf numFmtId="177" fontId="53" fillId="0" borderId="2" xfId="34" applyNumberFormat="1" applyFont="1" applyFill="1" applyBorder="1" applyAlignment="1">
      <alignment horizontal="right"/>
    </xf>
    <xf numFmtId="183" fontId="53" fillId="0" borderId="1" xfId="34" applyNumberFormat="1" applyFont="1" applyFill="1" applyBorder="1" applyAlignment="1">
      <alignment horizontal="right"/>
    </xf>
    <xf numFmtId="177" fontId="53" fillId="0" borderId="23" xfId="34" applyNumberFormat="1" applyFont="1" applyFill="1" applyBorder="1" applyAlignment="1"/>
    <xf numFmtId="177" fontId="53" fillId="0" borderId="36" xfId="34" applyNumberFormat="1" applyFont="1" applyFill="1" applyBorder="1" applyAlignment="1"/>
    <xf numFmtId="177" fontId="53" fillId="0" borderId="2" xfId="34" applyNumberFormat="1" applyFont="1" applyFill="1" applyBorder="1" applyAlignment="1"/>
    <xf numFmtId="177" fontId="53" fillId="0" borderId="39" xfId="26" applyNumberFormat="1" applyFont="1" applyFill="1" applyBorder="1" applyAlignment="1">
      <alignment horizontal="center"/>
    </xf>
    <xf numFmtId="177" fontId="53" fillId="0" borderId="40" xfId="26" applyNumberFormat="1" applyFont="1" applyFill="1" applyBorder="1" applyAlignment="1">
      <alignment horizontal="center"/>
    </xf>
    <xf numFmtId="177" fontId="53" fillId="0" borderId="48" xfId="26" applyNumberFormat="1" applyFont="1" applyFill="1" applyBorder="1" applyAlignment="1">
      <alignment horizontal="center"/>
    </xf>
    <xf numFmtId="177" fontId="53" fillId="0" borderId="11" xfId="26" applyNumberFormat="1" applyFont="1" applyFill="1" applyBorder="1" applyAlignment="1">
      <alignment horizontal="center"/>
    </xf>
    <xf numFmtId="177" fontId="53" fillId="0" borderId="42" xfId="26" applyNumberFormat="1" applyFont="1" applyFill="1" applyBorder="1" applyAlignment="1">
      <alignment horizontal="center"/>
    </xf>
    <xf numFmtId="177" fontId="53" fillId="0" borderId="43" xfId="26" applyNumberFormat="1" applyFont="1" applyFill="1" applyBorder="1" applyAlignment="1">
      <alignment horizontal="center"/>
    </xf>
    <xf numFmtId="177" fontId="12" fillId="0" borderId="40" xfId="9" applyNumberFormat="1" applyFont="1" applyFill="1" applyBorder="1" applyAlignment="1">
      <alignment horizontal="distributed" vertical="distributed"/>
    </xf>
    <xf numFmtId="177" fontId="12" fillId="0" borderId="48" xfId="9" applyNumberFormat="1" applyFont="1" applyFill="1" applyBorder="1" applyAlignment="1">
      <alignment horizontal="distributed" vertical="distributed"/>
    </xf>
    <xf numFmtId="177" fontId="12" fillId="0" borderId="11" xfId="9" applyNumberFormat="1" applyFont="1" applyFill="1" applyBorder="1" applyAlignment="1">
      <alignment horizontal="distributed" vertical="distributed"/>
    </xf>
    <xf numFmtId="177" fontId="12" fillId="0" borderId="49" xfId="9" applyNumberFormat="1" applyFont="1" applyFill="1" applyBorder="1" applyAlignment="1">
      <alignment horizontal="distributed" vertical="distributed"/>
    </xf>
    <xf numFmtId="177" fontId="12" fillId="0" borderId="17" xfId="9" applyNumberFormat="1" applyFont="1" applyFill="1" applyBorder="1" applyAlignment="1">
      <alignment horizontal="distributed" vertical="distributed"/>
    </xf>
    <xf numFmtId="177" fontId="53" fillId="0" borderId="1" xfId="34" applyNumberFormat="1" applyFont="1" applyFill="1" applyBorder="1" applyAlignment="1"/>
    <xf numFmtId="177" fontId="25" fillId="0" borderId="39" xfId="26" applyNumberFormat="1" applyFont="1" applyFill="1" applyBorder="1" applyAlignment="1">
      <alignment horizontal="distributed" vertical="distributed"/>
    </xf>
    <xf numFmtId="177" fontId="25" fillId="0" borderId="40" xfId="26" applyNumberFormat="1" applyFont="1" applyFill="1" applyBorder="1" applyAlignment="1">
      <alignment horizontal="distributed" vertical="distributed"/>
    </xf>
    <xf numFmtId="177" fontId="25" fillId="0" borderId="42" xfId="26" applyNumberFormat="1" applyFont="1" applyFill="1" applyBorder="1" applyAlignment="1">
      <alignment horizontal="distributed" vertical="distributed"/>
    </xf>
    <xf numFmtId="177" fontId="25" fillId="0" borderId="43" xfId="26" applyNumberFormat="1" applyFont="1" applyFill="1" applyBorder="1" applyAlignment="1">
      <alignment horizontal="distributed" vertical="distributed"/>
    </xf>
    <xf numFmtId="177" fontId="53" fillId="0" borderId="39" xfId="26" applyNumberFormat="1" applyFont="1" applyFill="1" applyBorder="1" applyAlignment="1">
      <alignment horizontal="right"/>
    </xf>
    <xf numFmtId="177" fontId="9" fillId="0" borderId="40" xfId="9" applyNumberFormat="1" applyFill="1" applyBorder="1"/>
    <xf numFmtId="177" fontId="9" fillId="0" borderId="48" xfId="9" applyNumberFormat="1" applyFill="1" applyBorder="1"/>
    <xf numFmtId="177" fontId="9" fillId="0" borderId="11" xfId="9" applyNumberFormat="1" applyFill="1" applyBorder="1"/>
    <xf numFmtId="177" fontId="9" fillId="0" borderId="49" xfId="9" applyNumberFormat="1" applyFill="1" applyBorder="1"/>
    <xf numFmtId="177" fontId="9" fillId="0" borderId="17" xfId="9" applyNumberFormat="1" applyFill="1" applyBorder="1"/>
    <xf numFmtId="177" fontId="32" fillId="0" borderId="50" xfId="26" applyNumberFormat="1" applyFont="1" applyFill="1" applyBorder="1" applyAlignment="1">
      <alignment horizontal="distributed" vertical="distributed"/>
    </xf>
    <xf numFmtId="177" fontId="12" fillId="0" borderId="52" xfId="9" applyNumberFormat="1" applyFont="1" applyFill="1" applyBorder="1" applyAlignment="1">
      <alignment horizontal="distributed" vertical="distributed"/>
    </xf>
    <xf numFmtId="177" fontId="53" fillId="0" borderId="50" xfId="26" applyNumberFormat="1" applyFont="1" applyFill="1" applyBorder="1" applyAlignment="1">
      <alignment horizontal="right"/>
    </xf>
    <xf numFmtId="177" fontId="9" fillId="0" borderId="52" xfId="9" applyNumberFormat="1" applyFill="1" applyBorder="1"/>
    <xf numFmtId="177" fontId="32" fillId="0" borderId="53" xfId="26" applyNumberFormat="1" applyFont="1" applyFill="1" applyBorder="1" applyAlignment="1">
      <alignment horizontal="distributed" vertical="distributed"/>
    </xf>
    <xf numFmtId="177" fontId="32" fillId="0" borderId="55" xfId="26" applyNumberFormat="1" applyFont="1" applyFill="1" applyBorder="1" applyAlignment="1">
      <alignment horizontal="distributed" vertical="distributed"/>
    </xf>
    <xf numFmtId="177" fontId="53" fillId="0" borderId="53" xfId="26" applyNumberFormat="1" applyFont="1" applyFill="1" applyBorder="1" applyAlignment="1">
      <alignment horizontal="center"/>
    </xf>
    <xf numFmtId="177" fontId="53" fillId="0" borderId="55" xfId="26" applyNumberFormat="1" applyFont="1" applyFill="1" applyBorder="1" applyAlignment="1">
      <alignment horizontal="center"/>
    </xf>
    <xf numFmtId="177" fontId="32" fillId="0" borderId="56" xfId="26" applyNumberFormat="1" applyFont="1" applyFill="1" applyBorder="1" applyAlignment="1">
      <alignment horizontal="distributed" vertical="distributed"/>
    </xf>
    <xf numFmtId="177" fontId="32" fillId="0" borderId="22" xfId="26" applyNumberFormat="1" applyFont="1" applyFill="1" applyBorder="1" applyAlignment="1">
      <alignment horizontal="distributed" vertical="distributed"/>
    </xf>
    <xf numFmtId="177" fontId="53" fillId="0" borderId="40" xfId="26" applyNumberFormat="1" applyFont="1" applyFill="1" applyBorder="1" applyAlignment="1">
      <alignment horizontal="right"/>
    </xf>
    <xf numFmtId="177" fontId="53" fillId="0" borderId="48" xfId="26" applyNumberFormat="1" applyFont="1" applyFill="1" applyBorder="1" applyAlignment="1">
      <alignment horizontal="right"/>
    </xf>
    <xf numFmtId="177" fontId="53" fillId="0" borderId="11" xfId="26" applyNumberFormat="1" applyFont="1" applyFill="1" applyBorder="1" applyAlignment="1">
      <alignment horizontal="right"/>
    </xf>
    <xf numFmtId="177" fontId="53" fillId="0" borderId="42" xfId="26" applyNumberFormat="1" applyFont="1" applyFill="1" applyBorder="1" applyAlignment="1">
      <alignment horizontal="right"/>
    </xf>
    <xf numFmtId="177" fontId="53" fillId="0" borderId="43" xfId="26" applyNumberFormat="1" applyFont="1" applyFill="1" applyBorder="1" applyAlignment="1">
      <alignment horizontal="right"/>
    </xf>
    <xf numFmtId="177" fontId="53" fillId="0" borderId="49" xfId="26" applyNumberFormat="1" applyFont="1" applyFill="1" applyBorder="1" applyAlignment="1">
      <alignment horizontal="right"/>
    </xf>
    <xf numFmtId="177" fontId="53" fillId="0" borderId="17" xfId="26" applyNumberFormat="1" applyFont="1" applyFill="1" applyBorder="1" applyAlignment="1">
      <alignment horizontal="right"/>
    </xf>
    <xf numFmtId="177" fontId="55" fillId="0" borderId="49" xfId="26" applyNumberFormat="1" applyFont="1" applyFill="1" applyBorder="1" applyAlignment="1">
      <alignment horizontal="right"/>
    </xf>
    <xf numFmtId="177" fontId="55" fillId="0" borderId="17" xfId="26" applyNumberFormat="1" applyFont="1" applyFill="1" applyBorder="1" applyAlignment="1">
      <alignment horizontal="right"/>
    </xf>
    <xf numFmtId="177" fontId="32" fillId="0" borderId="45" xfId="26" applyNumberFormat="1" applyFont="1" applyFill="1" applyBorder="1" applyAlignment="1">
      <alignment horizontal="right" vertical="distributed"/>
    </xf>
    <xf numFmtId="177" fontId="32" fillId="0" borderId="47" xfId="26" applyNumberFormat="1" applyFont="1" applyFill="1" applyBorder="1" applyAlignment="1">
      <alignment horizontal="right" vertical="distributed"/>
    </xf>
    <xf numFmtId="177" fontId="55" fillId="0" borderId="27" xfId="26" applyNumberFormat="1" applyFont="1" applyFill="1" applyBorder="1" applyAlignment="1">
      <alignment horizontal="right"/>
    </xf>
    <xf numFmtId="177" fontId="55" fillId="0" borderId="0" xfId="26" applyNumberFormat="1" applyFont="1" applyFill="1" applyBorder="1" applyAlignment="1">
      <alignment horizontal="right"/>
    </xf>
    <xf numFmtId="177" fontId="55" fillId="0" borderId="38" xfId="26" applyNumberFormat="1" applyFont="1" applyFill="1" applyBorder="1" applyAlignment="1">
      <alignment horizontal="right"/>
    </xf>
    <xf numFmtId="177" fontId="25" fillId="0" borderId="41" xfId="26" applyNumberFormat="1" applyFont="1" applyFill="1" applyBorder="1" applyAlignment="1">
      <alignment horizontal="distributed" vertical="distributed"/>
    </xf>
    <xf numFmtId="177" fontId="25" fillId="0" borderId="72" xfId="26" applyNumberFormat="1" applyFont="1" applyFill="1" applyBorder="1" applyAlignment="1">
      <alignment horizontal="distributed" vertical="distributed"/>
    </xf>
    <xf numFmtId="177" fontId="25" fillId="0" borderId="44" xfId="26" applyNumberFormat="1" applyFont="1" applyFill="1" applyBorder="1" applyAlignment="1">
      <alignment horizontal="distributed" vertical="distributed"/>
    </xf>
    <xf numFmtId="177" fontId="25" fillId="0" borderId="11" xfId="26" applyNumberFormat="1" applyFont="1" applyFill="1" applyBorder="1" applyAlignment="1">
      <alignment horizontal="distributed" vertical="distributed"/>
    </xf>
    <xf numFmtId="177" fontId="53" fillId="0" borderId="45" xfId="26" applyNumberFormat="1" applyFont="1" applyFill="1" applyBorder="1" applyAlignment="1">
      <alignment horizontal="right"/>
    </xf>
    <xf numFmtId="177" fontId="53" fillId="0" borderId="47" xfId="26" applyNumberFormat="1" applyFont="1" applyFill="1" applyBorder="1" applyAlignment="1">
      <alignment horizontal="right"/>
    </xf>
    <xf numFmtId="177" fontId="25" fillId="0" borderId="48" xfId="26" applyNumberFormat="1" applyFont="1" applyFill="1" applyBorder="1" applyAlignment="1">
      <alignment horizontal="distributed" vertical="distributed"/>
    </xf>
    <xf numFmtId="0" fontId="32" fillId="0" borderId="45" xfId="7" applyFont="1" applyFill="1" applyBorder="1" applyAlignment="1">
      <alignment horizontal="left" vertical="center" wrapText="1"/>
    </xf>
    <xf numFmtId="0" fontId="32" fillId="0" borderId="46" xfId="7" applyFont="1" applyFill="1" applyBorder="1" applyAlignment="1">
      <alignment horizontal="left" vertical="center" wrapText="1"/>
    </xf>
    <xf numFmtId="0" fontId="32" fillId="0" borderId="47" xfId="7" applyFont="1" applyFill="1" applyBorder="1" applyAlignment="1">
      <alignment horizontal="left" vertical="center" wrapText="1"/>
    </xf>
    <xf numFmtId="183" fontId="32" fillId="0" borderId="45" xfId="26" applyNumberFormat="1" applyFont="1" applyFill="1" applyBorder="1" applyAlignment="1">
      <alignment vertical="distributed"/>
    </xf>
    <xf numFmtId="183" fontId="32" fillId="0" borderId="47" xfId="26" applyNumberFormat="1" applyFont="1" applyFill="1" applyBorder="1" applyAlignment="1">
      <alignment vertical="distributed"/>
    </xf>
    <xf numFmtId="168" fontId="53" fillId="0" borderId="23" xfId="34" applyNumberFormat="1" applyFont="1" applyFill="1" applyBorder="1" applyAlignment="1"/>
    <xf numFmtId="168" fontId="53" fillId="0" borderId="75" xfId="34" applyNumberFormat="1" applyFont="1" applyFill="1" applyBorder="1" applyAlignment="1"/>
    <xf numFmtId="168" fontId="53" fillId="0" borderId="1" xfId="34" applyNumberFormat="1" applyFont="1" applyFill="1" applyBorder="1" applyAlignment="1"/>
    <xf numFmtId="168" fontId="53" fillId="0" borderId="4" xfId="34" applyNumberFormat="1" applyFont="1" applyFill="1" applyBorder="1" applyAlignment="1"/>
    <xf numFmtId="168" fontId="53" fillId="0" borderId="45" xfId="26" applyNumberFormat="1" applyFont="1" applyFill="1" applyBorder="1" applyAlignment="1">
      <alignment horizontal="center"/>
    </xf>
    <xf numFmtId="168" fontId="53" fillId="0" borderId="47" xfId="26" applyNumberFormat="1" applyFont="1" applyFill="1" applyBorder="1" applyAlignment="1">
      <alignment horizontal="center"/>
    </xf>
    <xf numFmtId="0" fontId="25" fillId="0" borderId="39" xfId="7" applyFont="1" applyFill="1" applyBorder="1" applyAlignment="1">
      <alignment horizontal="right"/>
    </xf>
    <xf numFmtId="0" fontId="25" fillId="0" borderId="27" xfId="7" applyFont="1" applyFill="1" applyBorder="1" applyAlignment="1">
      <alignment horizontal="right"/>
    </xf>
    <xf numFmtId="0" fontId="25" fillId="0" borderId="40" xfId="7" applyFont="1" applyFill="1" applyBorder="1" applyAlignment="1">
      <alignment horizontal="right"/>
    </xf>
    <xf numFmtId="0" fontId="25" fillId="0" borderId="42" xfId="7" applyFont="1" applyFill="1" applyBorder="1" applyAlignment="1">
      <alignment horizontal="right"/>
    </xf>
    <xf numFmtId="0" fontId="25" fillId="0" borderId="38" xfId="7" applyFont="1" applyFill="1" applyBorder="1" applyAlignment="1">
      <alignment horizontal="right"/>
    </xf>
    <xf numFmtId="0" fontId="25" fillId="0" borderId="43" xfId="7" applyFont="1" applyFill="1" applyBorder="1" applyAlignment="1">
      <alignment horizontal="right"/>
    </xf>
    <xf numFmtId="176" fontId="25" fillId="0" borderId="41" xfId="26" applyNumberFormat="1" applyFont="1" applyFill="1" applyBorder="1" applyAlignment="1">
      <alignment horizontal="distributed" vertical="distributed"/>
    </xf>
    <xf numFmtId="176" fontId="25" fillId="0" borderId="72" xfId="26" applyNumberFormat="1" applyFont="1" applyFill="1" applyBorder="1" applyAlignment="1">
      <alignment horizontal="distributed" vertical="distributed"/>
    </xf>
    <xf numFmtId="176" fontId="25" fillId="0" borderId="44" xfId="26" applyNumberFormat="1" applyFont="1" applyFill="1" applyBorder="1" applyAlignment="1">
      <alignment horizontal="distributed" vertical="distributed"/>
    </xf>
    <xf numFmtId="0" fontId="32" fillId="0" borderId="45" xfId="0" applyFont="1" applyBorder="1" applyAlignment="1">
      <alignment horizontal="left" wrapText="1"/>
    </xf>
    <xf numFmtId="0" fontId="32" fillId="0" borderId="46" xfId="0" applyFont="1" applyBorder="1" applyAlignment="1">
      <alignment horizontal="left" wrapText="1"/>
    </xf>
    <xf numFmtId="0" fontId="32" fillId="0" borderId="47" xfId="0" applyFont="1" applyBorder="1" applyAlignment="1">
      <alignment horizontal="left" wrapText="1"/>
    </xf>
    <xf numFmtId="175" fontId="32" fillId="0" borderId="45" xfId="26" applyNumberFormat="1" applyFont="1" applyFill="1" applyBorder="1" applyAlignment="1">
      <alignment vertical="distributed"/>
    </xf>
    <xf numFmtId="175" fontId="32" fillId="0" borderId="47" xfId="26" applyNumberFormat="1" applyFont="1" applyFill="1" applyBorder="1" applyAlignment="1">
      <alignment vertical="distributed"/>
    </xf>
    <xf numFmtId="168" fontId="53" fillId="0" borderId="75" xfId="25" applyNumberFormat="1" applyFont="1" applyFill="1" applyBorder="1" applyAlignment="1"/>
    <xf numFmtId="168" fontId="53" fillId="0" borderId="4" xfId="25" applyNumberFormat="1" applyFont="1" applyFill="1" applyBorder="1" applyAlignment="1"/>
    <xf numFmtId="3" fontId="32" fillId="8" borderId="45" xfId="7" applyNumberFormat="1" applyFont="1" applyFill="1" applyBorder="1" applyAlignment="1">
      <alignment horizontal="center" wrapText="1"/>
    </xf>
    <xf numFmtId="0" fontId="32" fillId="8" borderId="46" xfId="7" applyFont="1" applyFill="1" applyBorder="1" applyAlignment="1">
      <alignment horizontal="center" wrapText="1"/>
    </xf>
    <xf numFmtId="0" fontId="32" fillId="8" borderId="47" xfId="7" applyFont="1" applyFill="1" applyBorder="1" applyAlignment="1">
      <alignment horizontal="center" wrapText="1"/>
    </xf>
    <xf numFmtId="0" fontId="32" fillId="8" borderId="45" xfId="7" applyFont="1" applyFill="1" applyBorder="1" applyAlignment="1">
      <alignment horizontal="left" wrapText="1"/>
    </xf>
    <xf numFmtId="0" fontId="32" fillId="8" borderId="46" xfId="7" applyFont="1" applyFill="1" applyBorder="1" applyAlignment="1">
      <alignment horizontal="left" wrapText="1"/>
    </xf>
    <xf numFmtId="0" fontId="32" fillId="8" borderId="47" xfId="7" applyFont="1" applyFill="1" applyBorder="1" applyAlignment="1">
      <alignment horizontal="left" wrapText="1"/>
    </xf>
    <xf numFmtId="174" fontId="32" fillId="8" borderId="45" xfId="7" applyNumberFormat="1" applyFont="1" applyFill="1" applyBorder="1" applyAlignment="1">
      <alignment horizontal="right" vertical="distributed"/>
    </xf>
    <xf numFmtId="174" fontId="32" fillId="8" borderId="47" xfId="7" applyNumberFormat="1" applyFont="1" applyFill="1" applyBorder="1" applyAlignment="1">
      <alignment horizontal="right" vertical="distributed"/>
    </xf>
    <xf numFmtId="0" fontId="32" fillId="0" borderId="39" xfId="7" applyFont="1" applyFill="1" applyBorder="1" applyAlignment="1">
      <alignment horizontal="left" vertical="top" wrapText="1"/>
    </xf>
    <xf numFmtId="0" fontId="32" fillId="0" borderId="27" xfId="7" applyFont="1" applyFill="1" applyBorder="1" applyAlignment="1">
      <alignment horizontal="left" vertical="top" wrapText="1"/>
    </xf>
    <xf numFmtId="0" fontId="32" fillId="0" borderId="40" xfId="7" applyFont="1" applyFill="1" applyBorder="1" applyAlignment="1">
      <alignment horizontal="left" vertical="top" wrapText="1"/>
    </xf>
    <xf numFmtId="0" fontId="32" fillId="0" borderId="48" xfId="7" applyFont="1" applyFill="1" applyBorder="1" applyAlignment="1">
      <alignment horizontal="left" vertical="top" wrapText="1"/>
    </xf>
    <xf numFmtId="0" fontId="32" fillId="0" borderId="0" xfId="7" applyFont="1" applyFill="1" applyBorder="1" applyAlignment="1">
      <alignment horizontal="left" vertical="top" wrapText="1"/>
    </xf>
    <xf numFmtId="0" fontId="32" fillId="0" borderId="11" xfId="7" applyFont="1" applyFill="1" applyBorder="1" applyAlignment="1">
      <alignment horizontal="left" vertical="top" wrapText="1"/>
    </xf>
    <xf numFmtId="0" fontId="32" fillId="0" borderId="42" xfId="7" applyFont="1" applyFill="1" applyBorder="1" applyAlignment="1">
      <alignment horizontal="left" vertical="top" wrapText="1"/>
    </xf>
    <xf numFmtId="0" fontId="32" fillId="0" borderId="38" xfId="7" applyFont="1" applyFill="1" applyBorder="1" applyAlignment="1">
      <alignment horizontal="left" vertical="top" wrapText="1"/>
    </xf>
    <xf numFmtId="0" fontId="32" fillId="0" borderId="43" xfId="7" applyFont="1" applyFill="1" applyBorder="1" applyAlignment="1">
      <alignment horizontal="left" vertical="top" wrapText="1"/>
    </xf>
    <xf numFmtId="165" fontId="25" fillId="0" borderId="40" xfId="1" applyFont="1" applyFill="1" applyBorder="1" applyAlignment="1">
      <alignment horizontal="distributed" vertical="distributed"/>
    </xf>
    <xf numFmtId="165" fontId="25" fillId="0" borderId="11" xfId="1" applyFont="1" applyFill="1" applyBorder="1" applyAlignment="1">
      <alignment horizontal="distributed" vertical="distributed"/>
    </xf>
    <xf numFmtId="165" fontId="25" fillId="0" borderId="43" xfId="1" applyFont="1" applyFill="1" applyBorder="1" applyAlignment="1">
      <alignment horizontal="distributed" vertical="distributed"/>
    </xf>
    <xf numFmtId="165" fontId="25" fillId="0" borderId="39" xfId="1" applyFont="1" applyFill="1" applyBorder="1" applyAlignment="1">
      <alignment horizontal="distributed" vertical="distributed"/>
    </xf>
    <xf numFmtId="165" fontId="25" fillId="0" borderId="48" xfId="1" applyFont="1" applyFill="1" applyBorder="1" applyAlignment="1">
      <alignment horizontal="distributed" vertical="distributed"/>
    </xf>
    <xf numFmtId="165" fontId="25" fillId="0" borderId="42" xfId="1" applyFont="1" applyFill="1" applyBorder="1" applyAlignment="1">
      <alignment horizontal="distributed" vertical="distributed"/>
    </xf>
    <xf numFmtId="176" fontId="32" fillId="0" borderId="0" xfId="46" applyNumberFormat="1" applyFont="1" applyFill="1" applyAlignment="1">
      <alignment horizontal="right"/>
    </xf>
    <xf numFmtId="176" fontId="32" fillId="0" borderId="0" xfId="9" applyNumberFormat="1" applyFont="1" applyFill="1" applyAlignment="1">
      <alignment horizontal="right" vertical="center"/>
    </xf>
    <xf numFmtId="176" fontId="36" fillId="0" borderId="0" xfId="7" applyNumberFormat="1" applyFont="1" applyFill="1" applyAlignment="1">
      <alignment horizontal="right"/>
    </xf>
    <xf numFmtId="49" fontId="15" fillId="0" borderId="14" xfId="3" applyNumberFormat="1" applyFont="1" applyFill="1" applyBorder="1" applyAlignment="1">
      <alignment horizontal="center" vertical="center" wrapText="1"/>
    </xf>
    <xf numFmtId="49" fontId="15" fillId="0" borderId="13" xfId="3" applyNumberFormat="1" applyFont="1" applyFill="1" applyBorder="1" applyAlignment="1">
      <alignment horizontal="center" vertical="center" wrapText="1"/>
    </xf>
    <xf numFmtId="49" fontId="15" fillId="0" borderId="7" xfId="3" applyNumberFormat="1" applyFont="1" applyFill="1" applyBorder="1" applyAlignment="1">
      <alignment horizontal="center" vertical="center" wrapText="1"/>
    </xf>
    <xf numFmtId="0" fontId="34" fillId="0" borderId="0" xfId="3" applyFont="1" applyFill="1" applyAlignment="1">
      <alignment horizontal="right" vertical="center" wrapText="1"/>
    </xf>
    <xf numFmtId="0" fontId="25" fillId="0" borderId="0" xfId="35" applyFont="1" applyFill="1" applyAlignment="1">
      <alignment horizontal="center"/>
    </xf>
    <xf numFmtId="174" fontId="25" fillId="0" borderId="0" xfId="35" applyNumberFormat="1" applyFont="1" applyFill="1" applyAlignment="1">
      <alignment horizontal="center"/>
    </xf>
    <xf numFmtId="49" fontId="15" fillId="0" borderId="30" xfId="3" applyNumberFormat="1" applyFont="1" applyFill="1" applyBorder="1" applyAlignment="1">
      <alignment horizontal="center" vertical="center" wrapText="1"/>
    </xf>
    <xf numFmtId="49" fontId="15" fillId="0" borderId="10" xfId="3" applyNumberFormat="1" applyFont="1" applyFill="1" applyBorder="1" applyAlignment="1">
      <alignment horizontal="center" vertical="center" wrapText="1"/>
    </xf>
    <xf numFmtId="49" fontId="15" fillId="0" borderId="18" xfId="3" applyNumberFormat="1" applyFont="1" applyFill="1" applyBorder="1" applyAlignment="1">
      <alignment horizontal="center" vertical="center" wrapText="1"/>
    </xf>
    <xf numFmtId="0" fontId="25" fillId="0" borderId="0" xfId="29" applyFont="1" applyFill="1" applyAlignment="1">
      <alignment horizontal="center"/>
    </xf>
    <xf numFmtId="0" fontId="25" fillId="0" borderId="0" xfId="6" applyFont="1" applyFill="1" applyAlignment="1">
      <alignment horizontal="center"/>
    </xf>
    <xf numFmtId="0" fontId="32" fillId="0" borderId="0" xfId="3" applyFont="1" applyFill="1" applyAlignment="1">
      <alignment horizontal="right" vertical="center" wrapText="1"/>
    </xf>
    <xf numFmtId="0" fontId="47" fillId="0" borderId="0" xfId="9" applyFont="1" applyFill="1" applyAlignment="1">
      <alignment horizontal="center" vertical="top"/>
    </xf>
    <xf numFmtId="0" fontId="54" fillId="0" borderId="0" xfId="56" applyFont="1" applyFill="1" applyAlignment="1">
      <alignment horizontal="center" vertical="center" wrapText="1"/>
    </xf>
    <xf numFmtId="0" fontId="54" fillId="0" borderId="0" xfId="32" applyFont="1" applyFill="1" applyAlignment="1">
      <alignment horizontal="center"/>
    </xf>
    <xf numFmtId="0" fontId="32" fillId="0" borderId="0" xfId="41" applyFont="1" applyFill="1" applyAlignment="1">
      <alignment horizontal="right"/>
    </xf>
    <xf numFmtId="0" fontId="12" fillId="0" borderId="24" xfId="9" applyFont="1" applyFill="1" applyBorder="1" applyAlignment="1">
      <alignment horizontal="center" vertical="center" wrapText="1"/>
    </xf>
    <xf numFmtId="0" fontId="12" fillId="0" borderId="35" xfId="9" applyFont="1" applyFill="1" applyBorder="1" applyAlignment="1">
      <alignment horizontal="center" vertical="center" wrapText="1"/>
    </xf>
    <xf numFmtId="0" fontId="12" fillId="0" borderId="21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36" xfId="9" applyFont="1" applyFill="1" applyBorder="1" applyAlignment="1">
      <alignment horizontal="center" vertical="center" wrapText="1"/>
    </xf>
    <xf numFmtId="0" fontId="12" fillId="0" borderId="30" xfId="9" applyFont="1" applyFill="1" applyBorder="1" applyAlignment="1">
      <alignment horizontal="center" vertical="center" wrapText="1"/>
    </xf>
    <xf numFmtId="0" fontId="12" fillId="0" borderId="72" xfId="9" applyFont="1" applyFill="1" applyBorder="1" applyAlignment="1">
      <alignment horizontal="center" vertical="center"/>
    </xf>
    <xf numFmtId="0" fontId="13" fillId="0" borderId="53" xfId="9" applyFont="1" applyFill="1" applyBorder="1" applyAlignment="1">
      <alignment horizontal="left" vertical="center" wrapText="1"/>
    </xf>
    <xf numFmtId="0" fontId="13" fillId="0" borderId="57" xfId="9" applyFont="1" applyFill="1" applyBorder="1" applyAlignment="1">
      <alignment horizontal="left" vertical="center" wrapText="1"/>
    </xf>
    <xf numFmtId="0" fontId="13" fillId="0" borderId="50" xfId="9" applyFont="1" applyFill="1" applyBorder="1" applyAlignment="1">
      <alignment horizontal="left" vertical="center" wrapText="1"/>
    </xf>
    <xf numFmtId="0" fontId="13" fillId="0" borderId="69" xfId="9" applyFont="1" applyFill="1" applyBorder="1" applyAlignment="1">
      <alignment horizontal="center" vertical="center" wrapText="1"/>
    </xf>
    <xf numFmtId="0" fontId="13" fillId="0" borderId="19" xfId="9" applyFont="1" applyFill="1" applyBorder="1" applyAlignment="1">
      <alignment horizontal="center" vertical="center" wrapText="1"/>
    </xf>
    <xf numFmtId="0" fontId="13" fillId="0" borderId="66" xfId="9" applyFont="1" applyFill="1" applyBorder="1" applyAlignment="1">
      <alignment horizontal="center" vertical="center" wrapText="1"/>
    </xf>
    <xf numFmtId="0" fontId="13" fillId="0" borderId="41" xfId="9" applyFont="1" applyFill="1" applyBorder="1" applyAlignment="1">
      <alignment horizontal="center" vertical="center"/>
    </xf>
    <xf numFmtId="0" fontId="13" fillId="0" borderId="72" xfId="9" applyFont="1" applyFill="1" applyBorder="1" applyAlignment="1">
      <alignment horizontal="center" vertical="center"/>
    </xf>
    <xf numFmtId="0" fontId="13" fillId="0" borderId="44" xfId="9" applyFont="1" applyFill="1" applyBorder="1" applyAlignment="1">
      <alignment horizontal="center" vertical="center"/>
    </xf>
    <xf numFmtId="0" fontId="13" fillId="0" borderId="39" xfId="9" applyFont="1" applyFill="1" applyBorder="1" applyAlignment="1">
      <alignment horizontal="left" vertical="center" wrapText="1"/>
    </xf>
    <xf numFmtId="0" fontId="13" fillId="0" borderId="27" xfId="9" applyFont="1" applyFill="1" applyBorder="1" applyAlignment="1">
      <alignment horizontal="left" vertical="center" wrapText="1"/>
    </xf>
    <xf numFmtId="0" fontId="13" fillId="0" borderId="40" xfId="9" applyFont="1" applyFill="1" applyBorder="1" applyAlignment="1">
      <alignment horizontal="left" vertical="center" wrapText="1"/>
    </xf>
    <xf numFmtId="0" fontId="13" fillId="0" borderId="48" xfId="9" applyFont="1" applyFill="1" applyBorder="1" applyAlignment="1">
      <alignment horizontal="left" vertical="center" wrapText="1"/>
    </xf>
    <xf numFmtId="0" fontId="13" fillId="0" borderId="0" xfId="9" applyFont="1" applyFill="1" applyBorder="1" applyAlignment="1">
      <alignment horizontal="left" vertical="center" wrapText="1"/>
    </xf>
    <xf numFmtId="0" fontId="13" fillId="0" borderId="11" xfId="9" applyFont="1" applyFill="1" applyBorder="1" applyAlignment="1">
      <alignment horizontal="left" vertical="center" wrapText="1"/>
    </xf>
    <xf numFmtId="0" fontId="12" fillId="0" borderId="83" xfId="9" applyFont="1" applyFill="1" applyBorder="1" applyAlignment="1">
      <alignment horizontal="center" vertical="center" wrapText="1"/>
    </xf>
    <xf numFmtId="0" fontId="12" fillId="0" borderId="84" xfId="9" applyFont="1" applyFill="1" applyBorder="1" applyAlignment="1">
      <alignment horizontal="center" vertical="center" wrapText="1"/>
    </xf>
    <xf numFmtId="0" fontId="12" fillId="0" borderId="82" xfId="9" applyFont="1" applyFill="1" applyBorder="1" applyAlignment="1">
      <alignment horizontal="center" vertical="center"/>
    </xf>
    <xf numFmtId="0" fontId="12" fillId="0" borderId="4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49" fontId="13" fillId="0" borderId="45" xfId="9" applyNumberFormat="1" applyFont="1" applyFill="1" applyBorder="1" applyAlignment="1">
      <alignment horizontal="left" vertical="center" wrapText="1"/>
    </xf>
    <xf numFmtId="49" fontId="13" fillId="0" borderId="46" xfId="9" applyNumberFormat="1" applyFont="1" applyFill="1" applyBorder="1" applyAlignment="1">
      <alignment horizontal="left" vertical="center" wrapText="1"/>
    </xf>
    <xf numFmtId="49" fontId="13" fillId="0" borderId="47" xfId="9" applyNumberFormat="1" applyFont="1" applyFill="1" applyBorder="1" applyAlignment="1">
      <alignment horizontal="left" vertical="center" wrapText="1"/>
    </xf>
    <xf numFmtId="0" fontId="12" fillId="0" borderId="53" xfId="9" applyFont="1" applyFill="1" applyBorder="1" applyAlignment="1">
      <alignment horizontal="left" vertical="center" wrapText="1"/>
    </xf>
    <xf numFmtId="0" fontId="12" fillId="0" borderId="57" xfId="9" applyFont="1" applyFill="1" applyBorder="1" applyAlignment="1">
      <alignment horizontal="left" vertical="center" wrapText="1"/>
    </xf>
    <xf numFmtId="0" fontId="12" fillId="0" borderId="50" xfId="9" applyFont="1" applyFill="1" applyBorder="1" applyAlignment="1">
      <alignment horizontal="left" vertical="center" wrapText="1"/>
    </xf>
    <xf numFmtId="0" fontId="12" fillId="0" borderId="69" xfId="9" applyFont="1" applyFill="1" applyBorder="1" applyAlignment="1">
      <alignment horizontal="center" vertical="center" wrapText="1"/>
    </xf>
    <xf numFmtId="0" fontId="12" fillId="0" borderId="19" xfId="9" applyFont="1" applyFill="1" applyBorder="1" applyAlignment="1">
      <alignment horizontal="center" vertical="center" wrapText="1"/>
    </xf>
    <xf numFmtId="0" fontId="12" fillId="0" borderId="66" xfId="9" applyFont="1" applyFill="1" applyBorder="1" applyAlignment="1">
      <alignment horizontal="center" vertical="center" wrapText="1"/>
    </xf>
    <xf numFmtId="0" fontId="70" fillId="0" borderId="29" xfId="9" applyFont="1" applyFill="1" applyBorder="1" applyAlignment="1">
      <alignment horizontal="center" vertical="center" wrapText="1"/>
    </xf>
    <xf numFmtId="0" fontId="70" fillId="0" borderId="26" xfId="9" applyFont="1" applyFill="1" applyBorder="1" applyAlignment="1">
      <alignment horizontal="center" vertical="center" wrapText="1"/>
    </xf>
    <xf numFmtId="0" fontId="70" fillId="0" borderId="68" xfId="9" applyFont="1" applyFill="1" applyBorder="1" applyAlignment="1">
      <alignment horizontal="center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1" xfId="9" applyFont="1" applyFill="1" applyBorder="1" applyAlignment="1">
      <alignment horizontal="center" vertical="center" wrapText="1"/>
    </xf>
    <xf numFmtId="0" fontId="12" fillId="0" borderId="56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49" xfId="9" applyFont="1" applyFill="1" applyBorder="1" applyAlignment="1">
      <alignment horizontal="left" vertical="center" wrapText="1"/>
    </xf>
    <xf numFmtId="0" fontId="12" fillId="0" borderId="41" xfId="9" applyFont="1" applyFill="1" applyBorder="1" applyAlignment="1">
      <alignment horizontal="center" vertical="center" wrapText="1"/>
    </xf>
    <xf numFmtId="0" fontId="12" fillId="0" borderId="72" xfId="9" applyFont="1" applyFill="1" applyBorder="1" applyAlignment="1">
      <alignment horizontal="center" vertical="center" wrapText="1"/>
    </xf>
    <xf numFmtId="0" fontId="12" fillId="0" borderId="44" xfId="9" applyFont="1" applyFill="1" applyBorder="1" applyAlignment="1">
      <alignment horizontal="center" vertical="center" wrapText="1"/>
    </xf>
    <xf numFmtId="0" fontId="12" fillId="0" borderId="42" xfId="9" applyFont="1" applyFill="1" applyBorder="1" applyAlignment="1">
      <alignment horizontal="left" vertical="center" wrapText="1"/>
    </xf>
    <xf numFmtId="0" fontId="25" fillId="0" borderId="0" xfId="32" applyFont="1" applyFill="1" applyAlignment="1">
      <alignment horizontal="center"/>
    </xf>
    <xf numFmtId="0" fontId="25" fillId="0" borderId="0" xfId="9" applyFont="1" applyFill="1" applyAlignment="1">
      <alignment horizontal="center"/>
    </xf>
    <xf numFmtId="0" fontId="13" fillId="0" borderId="29" xfId="9" applyFont="1" applyFill="1" applyBorder="1" applyAlignment="1">
      <alignment horizontal="center" vertical="center" wrapText="1"/>
    </xf>
    <xf numFmtId="0" fontId="13" fillId="0" borderId="24" xfId="9" applyFont="1" applyFill="1" applyBorder="1" applyAlignment="1">
      <alignment horizontal="center" vertical="center" wrapText="1"/>
    </xf>
    <xf numFmtId="0" fontId="13" fillId="0" borderId="26" xfId="9" applyFont="1" applyFill="1" applyBorder="1" applyAlignment="1">
      <alignment horizontal="center" vertical="center" wrapText="1"/>
    </xf>
    <xf numFmtId="0" fontId="13" fillId="0" borderId="23" xfId="9" applyFont="1" applyFill="1" applyBorder="1" applyAlignment="1">
      <alignment horizontal="center" vertical="center" wrapText="1"/>
    </xf>
    <xf numFmtId="0" fontId="13" fillId="0" borderId="63" xfId="9" applyFont="1" applyFill="1" applyBorder="1" applyAlignment="1">
      <alignment horizontal="center" vertical="center" wrapText="1"/>
    </xf>
    <xf numFmtId="0" fontId="13" fillId="0" borderId="37" xfId="9" applyFont="1" applyFill="1" applyBorder="1" applyAlignment="1">
      <alignment horizontal="center" vertical="center" wrapText="1"/>
    </xf>
    <xf numFmtId="0" fontId="32" fillId="0" borderId="0" xfId="7" applyFont="1" applyFill="1" applyAlignment="1">
      <alignment horizontal="right"/>
    </xf>
    <xf numFmtId="0" fontId="60" fillId="0" borderId="0" xfId="27" applyFont="1" applyAlignment="1">
      <alignment horizontal="center"/>
    </xf>
    <xf numFmtId="0" fontId="32" fillId="0" borderId="0" xfId="27" applyFont="1" applyAlignment="1">
      <alignment horizontal="right"/>
    </xf>
    <xf numFmtId="172" fontId="12" fillId="0" borderId="1" xfId="11" applyNumberFormat="1" applyFont="1" applyFill="1" applyBorder="1" applyAlignment="1" applyProtection="1">
      <alignment horizontal="left" vertical="center" wrapText="1"/>
    </xf>
    <xf numFmtId="0" fontId="13" fillId="0" borderId="1" xfId="27" applyFont="1" applyBorder="1" applyAlignment="1">
      <alignment horizontal="right"/>
    </xf>
    <xf numFmtId="0" fontId="25" fillId="0" borderId="0" xfId="27" applyFont="1" applyAlignment="1">
      <alignment horizontal="center" wrapText="1"/>
    </xf>
    <xf numFmtId="0" fontId="16" fillId="3" borderId="1" xfId="3" applyFont="1" applyFill="1" applyBorder="1" applyAlignment="1">
      <alignment horizontal="center" vertical="center"/>
    </xf>
    <xf numFmtId="0" fontId="12" fillId="0" borderId="1" xfId="9" applyFont="1" applyFill="1" applyBorder="1" applyAlignment="1">
      <alignment horizontal="left" vertical="center" wrapText="1"/>
    </xf>
    <xf numFmtId="0" fontId="12" fillId="0" borderId="1" xfId="9" applyNumberFormat="1" applyFont="1" applyFill="1" applyBorder="1" applyAlignment="1" applyProtection="1">
      <alignment horizontal="left" vertical="center" wrapText="1"/>
    </xf>
    <xf numFmtId="169" fontId="12" fillId="0" borderId="1" xfId="10" applyNumberFormat="1" applyFont="1" applyFill="1" applyBorder="1" applyAlignment="1" applyProtection="1">
      <alignment horizontal="left" vertical="center" wrapText="1"/>
    </xf>
    <xf numFmtId="0" fontId="54" fillId="0" borderId="0" xfId="42" applyFont="1" applyFill="1" applyAlignment="1">
      <alignment horizontal="center" vertical="center" wrapText="1"/>
    </xf>
    <xf numFmtId="0" fontId="54" fillId="0" borderId="0" xfId="32" applyFont="1" applyAlignment="1">
      <alignment horizontal="center"/>
    </xf>
    <xf numFmtId="0" fontId="8" fillId="0" borderId="0" xfId="41" applyAlignment="1">
      <alignment horizontal="right"/>
    </xf>
    <xf numFmtId="0" fontId="32" fillId="0" borderId="49" xfId="9" applyFont="1" applyBorder="1" applyAlignment="1">
      <alignment horizontal="left" vertical="center"/>
    </xf>
    <xf numFmtId="0" fontId="32" fillId="0" borderId="18" xfId="9" applyFont="1" applyBorder="1" applyAlignment="1">
      <alignment horizontal="left" vertical="center"/>
    </xf>
    <xf numFmtId="0" fontId="32" fillId="0" borderId="0" xfId="28" applyFont="1" applyAlignment="1">
      <alignment horizontal="right"/>
    </xf>
    <xf numFmtId="0" fontId="32" fillId="0" borderId="0" xfId="9" applyFont="1" applyAlignment="1">
      <alignment horizontal="right"/>
    </xf>
    <xf numFmtId="0" fontId="62" fillId="0" borderId="0" xfId="9" applyFont="1" applyAlignment="1">
      <alignment horizontal="center"/>
    </xf>
    <xf numFmtId="0" fontId="25" fillId="0" borderId="0" xfId="9" applyFont="1" applyAlignment="1">
      <alignment horizontal="center"/>
    </xf>
    <xf numFmtId="0" fontId="25" fillId="0" borderId="45" xfId="9" applyFont="1" applyBorder="1" applyAlignment="1">
      <alignment horizontal="center" vertical="center" wrapText="1"/>
    </xf>
    <xf numFmtId="0" fontId="25" fillId="0" borderId="60" xfId="9" applyFont="1" applyBorder="1" applyAlignment="1">
      <alignment horizontal="center" vertical="center" wrapText="1"/>
    </xf>
    <xf numFmtId="0" fontId="32" fillId="0" borderId="53" xfId="9" applyFont="1" applyBorder="1" applyAlignment="1">
      <alignment horizontal="left" vertical="center"/>
    </xf>
    <xf numFmtId="0" fontId="32" fillId="0" borderId="28" xfId="9" applyFont="1" applyBorder="1" applyAlignment="1">
      <alignment horizontal="left" vertical="center"/>
    </xf>
    <xf numFmtId="0" fontId="32" fillId="0" borderId="50" xfId="9" applyFont="1" applyBorder="1" applyAlignment="1">
      <alignment horizontal="left" vertical="center"/>
    </xf>
    <xf numFmtId="0" fontId="32" fillId="0" borderId="59" xfId="9" applyFont="1" applyBorder="1" applyAlignment="1">
      <alignment horizontal="left" vertical="center"/>
    </xf>
    <xf numFmtId="0" fontId="32" fillId="0" borderId="57" xfId="9" applyFont="1" applyBorder="1" applyAlignment="1">
      <alignment horizontal="left" vertical="center"/>
    </xf>
    <xf numFmtId="0" fontId="32" fillId="0" borderId="7" xfId="9" applyFont="1" applyBorder="1" applyAlignment="1">
      <alignment horizontal="left" vertical="center"/>
    </xf>
    <xf numFmtId="0" fontId="32" fillId="0" borderId="57" xfId="9" applyFont="1" applyFill="1" applyBorder="1" applyAlignment="1">
      <alignment horizontal="left" vertical="center"/>
    </xf>
    <xf numFmtId="0" fontId="32" fillId="0" borderId="7" xfId="9" applyFont="1" applyFill="1" applyBorder="1" applyAlignment="1">
      <alignment horizontal="left" vertical="center"/>
    </xf>
    <xf numFmtId="0" fontId="13" fillId="0" borderId="58" xfId="3" applyFont="1" applyFill="1" applyBorder="1" applyAlignment="1">
      <alignment horizontal="center" wrapText="1"/>
    </xf>
    <xf numFmtId="0" fontId="13" fillId="0" borderId="0" xfId="3" applyFont="1" applyFill="1" applyBorder="1" applyAlignment="1">
      <alignment horizontal="center" wrapText="1"/>
    </xf>
    <xf numFmtId="0" fontId="13" fillId="0" borderId="12" xfId="3" applyFont="1" applyFill="1" applyBorder="1" applyAlignment="1">
      <alignment horizontal="center" wrapText="1"/>
    </xf>
    <xf numFmtId="0" fontId="12" fillId="0" borderId="14" xfId="3" applyFont="1" applyBorder="1" applyAlignment="1">
      <alignment horizontal="left" vertical="center" wrapText="1"/>
    </xf>
    <xf numFmtId="0" fontId="12" fillId="0" borderId="7" xfId="3" applyFont="1" applyBorder="1" applyAlignment="1">
      <alignment horizontal="left" vertical="center" wrapText="1"/>
    </xf>
    <xf numFmtId="0" fontId="12" fillId="0" borderId="14" xfId="3" applyFont="1" applyFill="1" applyBorder="1" applyAlignment="1">
      <alignment horizontal="center"/>
    </xf>
    <xf numFmtId="0" fontId="12" fillId="0" borderId="13" xfId="3" applyFont="1" applyFill="1" applyBorder="1" applyAlignment="1">
      <alignment horizontal="center"/>
    </xf>
    <xf numFmtId="0" fontId="34" fillId="0" borderId="0" xfId="3" applyFont="1" applyAlignment="1">
      <alignment horizontal="right" vertical="center" wrapText="1"/>
    </xf>
    <xf numFmtId="166" fontId="32" fillId="0" borderId="0" xfId="24" applyNumberFormat="1" applyFont="1" applyFill="1" applyAlignment="1">
      <alignment horizontal="right"/>
    </xf>
    <xf numFmtId="0" fontId="12" fillId="0" borderId="23" xfId="3" applyFont="1" applyFill="1" applyBorder="1" applyAlignment="1">
      <alignment horizontal="center" vertical="center"/>
    </xf>
    <xf numFmtId="0" fontId="12" fillId="0" borderId="2" xfId="3" applyFont="1" applyFill="1" applyBorder="1" applyAlignment="1">
      <alignment horizontal="center" vertical="center"/>
    </xf>
    <xf numFmtId="166" fontId="12" fillId="0" borderId="23" xfId="3" applyNumberFormat="1" applyFont="1" applyBorder="1" applyAlignment="1">
      <alignment horizontal="center" vertical="center"/>
    </xf>
    <xf numFmtId="166" fontId="12" fillId="0" borderId="2" xfId="3" applyNumberFormat="1" applyFont="1" applyBorder="1" applyAlignment="1">
      <alignment horizontal="center" vertical="center"/>
    </xf>
    <xf numFmtId="0" fontId="12" fillId="0" borderId="23" xfId="3" applyFont="1" applyFill="1" applyBorder="1" applyAlignment="1">
      <alignment horizontal="center" vertical="center" wrapText="1"/>
    </xf>
    <xf numFmtId="0" fontId="12" fillId="0" borderId="2" xfId="3" applyFont="1" applyFill="1" applyBorder="1" applyAlignment="1">
      <alignment horizontal="center" vertical="center" wrapText="1"/>
    </xf>
    <xf numFmtId="168" fontId="12" fillId="0" borderId="23" xfId="3" applyNumberFormat="1" applyFont="1" applyBorder="1" applyAlignment="1">
      <alignment horizontal="center" vertical="center"/>
    </xf>
    <xf numFmtId="168" fontId="12" fillId="0" borderId="2" xfId="3" applyNumberFormat="1" applyFont="1" applyBorder="1" applyAlignment="1">
      <alignment horizontal="center" vertical="center"/>
    </xf>
    <xf numFmtId="0" fontId="36" fillId="0" borderId="0" xfId="7" applyFont="1" applyAlignment="1">
      <alignment horizontal="right"/>
    </xf>
    <xf numFmtId="0" fontId="12" fillId="0" borderId="14" xfId="3" applyFont="1" applyBorder="1" applyAlignment="1">
      <alignment horizontal="right"/>
    </xf>
    <xf numFmtId="0" fontId="12" fillId="0" borderId="13" xfId="3" applyFont="1" applyBorder="1" applyAlignment="1">
      <alignment horizontal="right"/>
    </xf>
    <xf numFmtId="0" fontId="12" fillId="0" borderId="7" xfId="3" applyFont="1" applyBorder="1" applyAlignment="1">
      <alignment horizontal="right"/>
    </xf>
    <xf numFmtId="0" fontId="13" fillId="0" borderId="58" xfId="3" applyFont="1" applyBorder="1" applyAlignment="1">
      <alignment horizontal="center" wrapText="1"/>
    </xf>
    <xf numFmtId="0" fontId="13" fillId="0" borderId="0" xfId="3" applyFont="1" applyBorder="1" applyAlignment="1">
      <alignment horizontal="center" wrapText="1"/>
    </xf>
    <xf numFmtId="0" fontId="13" fillId="0" borderId="12" xfId="3" applyFont="1" applyBorder="1" applyAlignment="1">
      <alignment horizontal="center" wrapText="1"/>
    </xf>
    <xf numFmtId="0" fontId="12" fillId="0" borderId="65" xfId="3" applyFont="1" applyBorder="1" applyAlignment="1">
      <alignment horizontal="left" vertical="center" wrapText="1"/>
    </xf>
    <xf numFmtId="0" fontId="12" fillId="0" borderId="16" xfId="3" applyFont="1" applyBorder="1" applyAlignment="1">
      <alignment horizontal="left" vertical="center" wrapText="1"/>
    </xf>
    <xf numFmtId="0" fontId="12" fillId="0" borderId="30" xfId="3" applyFont="1" applyBorder="1" applyAlignment="1">
      <alignment horizontal="left" vertical="center" wrapText="1"/>
    </xf>
    <xf numFmtId="0" fontId="12" fillId="0" borderId="10" xfId="3" applyFont="1" applyBorder="1" applyAlignment="1">
      <alignment horizontal="left" vertical="center" wrapText="1"/>
    </xf>
    <xf numFmtId="0" fontId="12" fillId="0" borderId="23" xfId="3" applyFont="1" applyFill="1" applyBorder="1" applyAlignment="1">
      <alignment horizontal="center" vertical="top" wrapText="1"/>
    </xf>
    <xf numFmtId="0" fontId="12" fillId="0" borderId="2" xfId="3" applyFont="1" applyFill="1" applyBorder="1" applyAlignment="1">
      <alignment horizontal="center" vertical="top" wrapText="1"/>
    </xf>
    <xf numFmtId="0" fontId="12" fillId="0" borderId="23" xfId="9" applyFont="1" applyBorder="1" applyAlignment="1">
      <alignment horizontal="center" vertical="center" wrapText="1"/>
    </xf>
    <xf numFmtId="0" fontId="12" fillId="0" borderId="2" xfId="9" applyFont="1" applyBorder="1" applyAlignment="1">
      <alignment horizontal="center" vertical="center" wrapText="1"/>
    </xf>
    <xf numFmtId="0" fontId="13" fillId="0" borderId="30" xfId="3" applyFont="1" applyBorder="1" applyAlignment="1">
      <alignment horizontal="center" vertical="center" wrapText="1"/>
    </xf>
    <xf numFmtId="0" fontId="12" fillId="0" borderId="10" xfId="3" applyFont="1" applyBorder="1" applyAlignment="1">
      <alignment horizontal="center" vertical="center" wrapText="1"/>
    </xf>
    <xf numFmtId="0" fontId="12" fillId="0" borderId="18" xfId="3" applyFont="1" applyBorder="1" applyAlignment="1">
      <alignment horizontal="center" vertical="center" wrapText="1"/>
    </xf>
    <xf numFmtId="0" fontId="12" fillId="0" borderId="23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3" fillId="0" borderId="29" xfId="9" applyFont="1" applyBorder="1" applyAlignment="1">
      <alignment horizontal="center" vertical="center" wrapText="1"/>
    </xf>
    <xf numFmtId="0" fontId="13" fillId="0" borderId="24" xfId="9" applyFont="1" applyBorder="1" applyAlignment="1">
      <alignment horizontal="center" vertical="center" wrapText="1"/>
    </xf>
    <xf numFmtId="0" fontId="13" fillId="0" borderId="26" xfId="9" applyFont="1" applyBorder="1" applyAlignment="1">
      <alignment horizontal="center" vertical="center" wrapText="1"/>
    </xf>
    <xf numFmtId="0" fontId="13" fillId="0" borderId="23" xfId="9" applyFont="1" applyBorder="1" applyAlignment="1">
      <alignment horizontal="center" vertical="center" wrapText="1"/>
    </xf>
    <xf numFmtId="0" fontId="12" fillId="0" borderId="36" xfId="9" applyFont="1" applyBorder="1" applyAlignment="1">
      <alignment horizontal="center" vertical="center" wrapText="1"/>
    </xf>
    <xf numFmtId="0" fontId="12" fillId="0" borderId="75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left" vertical="center" wrapText="1"/>
    </xf>
    <xf numFmtId="0" fontId="12" fillId="0" borderId="35" xfId="9" applyFont="1" applyBorder="1" applyAlignment="1">
      <alignment horizontal="left" vertical="center" wrapText="1"/>
    </xf>
    <xf numFmtId="0" fontId="12" fillId="0" borderId="78" xfId="9" applyFont="1" applyBorder="1" applyAlignment="1">
      <alignment horizontal="left" vertical="center" wrapText="1"/>
    </xf>
    <xf numFmtId="0" fontId="12" fillId="0" borderId="41" xfId="9" applyFont="1" applyBorder="1" applyAlignment="1">
      <alignment horizontal="center" vertical="center"/>
    </xf>
    <xf numFmtId="0" fontId="12" fillId="0" borderId="72" xfId="9" applyFont="1" applyBorder="1" applyAlignment="1">
      <alignment horizontal="center" vertical="center"/>
    </xf>
    <xf numFmtId="0" fontId="12" fillId="0" borderId="44" xfId="9" applyFont="1" applyBorder="1" applyAlignment="1">
      <alignment horizontal="center" vertical="center"/>
    </xf>
    <xf numFmtId="0" fontId="70" fillId="7" borderId="8" xfId="9" applyFont="1" applyFill="1" applyBorder="1" applyAlignment="1">
      <alignment horizontal="center" vertical="center" wrapText="1"/>
    </xf>
    <xf numFmtId="0" fontId="70" fillId="7" borderId="1" xfId="9" applyFont="1" applyFill="1" applyBorder="1" applyAlignment="1">
      <alignment horizontal="center" vertical="center" wrapText="1"/>
    </xf>
    <xf numFmtId="0" fontId="12" fillId="0" borderId="37" xfId="9" applyFont="1" applyBorder="1" applyAlignment="1">
      <alignment horizontal="center"/>
    </xf>
    <xf numFmtId="0" fontId="12" fillId="7" borderId="8" xfId="9" applyFont="1" applyFill="1" applyBorder="1" applyAlignment="1">
      <alignment horizontal="left" vertical="center" wrapText="1"/>
    </xf>
    <xf numFmtId="0" fontId="12" fillId="0" borderId="1" xfId="9" applyFont="1" applyBorder="1" applyAlignment="1">
      <alignment horizontal="center" vertical="center" wrapText="1"/>
    </xf>
    <xf numFmtId="0" fontId="13" fillId="0" borderId="21" xfId="9" applyFont="1" applyBorder="1" applyAlignment="1">
      <alignment horizontal="left" vertical="center" wrapText="1"/>
    </xf>
    <xf numFmtId="0" fontId="13" fillId="0" borderId="8" xfId="9" applyFont="1" applyBorder="1" applyAlignment="1">
      <alignment horizontal="left" vertical="center" wrapText="1"/>
    </xf>
    <xf numFmtId="0" fontId="13" fillId="0" borderId="5" xfId="9" applyFont="1" applyBorder="1" applyAlignment="1">
      <alignment horizontal="left" vertical="center" wrapText="1"/>
    </xf>
    <xf numFmtId="0" fontId="13" fillId="0" borderId="2" xfId="9" applyFont="1" applyBorder="1" applyAlignment="1">
      <alignment horizontal="center" vertical="center" wrapText="1"/>
    </xf>
    <xf numFmtId="0" fontId="13" fillId="0" borderId="1" xfId="9" applyFont="1" applyBorder="1" applyAlignment="1">
      <alignment horizontal="center" vertical="center" wrapText="1"/>
    </xf>
    <xf numFmtId="0" fontId="13" fillId="0" borderId="4" xfId="9" applyFont="1" applyBorder="1" applyAlignment="1">
      <alignment horizontal="center" vertical="center" wrapText="1"/>
    </xf>
    <xf numFmtId="0" fontId="13" fillId="0" borderId="63" xfId="9" applyFont="1" applyBorder="1" applyAlignment="1">
      <alignment horizontal="center" vertical="center"/>
    </xf>
    <xf numFmtId="0" fontId="13" fillId="0" borderId="37" xfId="9" applyFont="1" applyBorder="1" applyAlignment="1">
      <alignment horizontal="center" vertical="center"/>
    </xf>
    <xf numFmtId="0" fontId="13" fillId="0" borderId="77" xfId="9" applyFont="1" applyBorder="1" applyAlignment="1">
      <alignment horizontal="center" vertical="center"/>
    </xf>
    <xf numFmtId="0" fontId="13" fillId="0" borderId="39" xfId="9" applyFont="1" applyBorder="1" applyAlignment="1">
      <alignment horizontal="left" vertical="center" wrapText="1"/>
    </xf>
    <xf numFmtId="0" fontId="13" fillId="0" borderId="27" xfId="9" applyFont="1" applyBorder="1" applyAlignment="1">
      <alignment horizontal="left" vertical="center" wrapText="1"/>
    </xf>
    <xf numFmtId="0" fontId="13" fillId="0" borderId="40" xfId="9" applyFont="1" applyBorder="1" applyAlignment="1">
      <alignment horizontal="left" vertical="center" wrapText="1"/>
    </xf>
    <xf numFmtId="0" fontId="13" fillId="0" borderId="48" xfId="9" applyFont="1" applyBorder="1" applyAlignment="1">
      <alignment horizontal="left" vertical="center" wrapText="1"/>
    </xf>
    <xf numFmtId="0" fontId="13" fillId="0" borderId="0" xfId="9" applyFont="1" applyBorder="1" applyAlignment="1">
      <alignment horizontal="left" vertical="center" wrapText="1"/>
    </xf>
    <xf numFmtId="0" fontId="13" fillId="0" borderId="11" xfId="9" applyFont="1" applyBorder="1" applyAlignment="1">
      <alignment horizontal="left" vertical="center" wrapText="1"/>
    </xf>
    <xf numFmtId="0" fontId="12" fillId="0" borderId="82" xfId="9" applyFont="1" applyBorder="1" applyAlignment="1">
      <alignment horizontal="center" vertical="center"/>
    </xf>
    <xf numFmtId="0" fontId="12" fillId="7" borderId="79" xfId="9" applyFont="1" applyFill="1" applyBorder="1" applyAlignment="1">
      <alignment horizontal="left" vertical="center" wrapText="1"/>
    </xf>
    <xf numFmtId="0" fontId="12" fillId="7" borderId="5" xfId="9" applyFont="1" applyFill="1" applyBorder="1" applyAlignment="1">
      <alignment horizontal="left" vertical="center" wrapText="1"/>
    </xf>
    <xf numFmtId="0" fontId="12" fillId="0" borderId="80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20" fillId="0" borderId="8" xfId="9" applyFont="1" applyBorder="1" applyAlignment="1">
      <alignment horizontal="left" vertical="center" wrapText="1"/>
    </xf>
    <xf numFmtId="0" fontId="20" fillId="0" borderId="1" xfId="9" applyFont="1" applyBorder="1" applyAlignment="1">
      <alignment horizontal="center" vertical="center" wrapText="1"/>
    </xf>
    <xf numFmtId="0" fontId="13" fillId="0" borderId="63" xfId="9" applyFont="1" applyBorder="1" applyAlignment="1">
      <alignment horizontal="center" vertical="center" wrapText="1"/>
    </xf>
    <xf numFmtId="0" fontId="13" fillId="0" borderId="37" xfId="9" applyFont="1" applyBorder="1" applyAlignment="1">
      <alignment horizontal="center" vertical="center" wrapText="1"/>
    </xf>
    <xf numFmtId="0" fontId="12" fillId="7" borderId="21" xfId="9" applyFont="1" applyFill="1" applyBorder="1" applyAlignment="1">
      <alignment horizontal="left" vertical="center" wrapText="1"/>
    </xf>
    <xf numFmtId="0" fontId="25" fillId="0" borderId="0" xfId="32" applyFont="1" applyAlignment="1">
      <alignment horizontal="center"/>
    </xf>
    <xf numFmtId="49" fontId="13" fillId="0" borderId="45" xfId="9" applyNumberFormat="1" applyFont="1" applyBorder="1" applyAlignment="1">
      <alignment horizontal="left" vertical="center" wrapText="1"/>
    </xf>
    <xf numFmtId="49" fontId="13" fillId="0" borderId="46" xfId="9" applyNumberFormat="1" applyFont="1" applyBorder="1" applyAlignment="1">
      <alignment horizontal="left" vertical="center" wrapText="1"/>
    </xf>
    <xf numFmtId="49" fontId="13" fillId="0" borderId="47" xfId="9" applyNumberFormat="1" applyFont="1" applyBorder="1" applyAlignment="1">
      <alignment horizontal="left" vertical="center" wrapText="1"/>
    </xf>
    <xf numFmtId="0" fontId="54" fillId="0" borderId="0" xfId="52" applyFont="1" applyFill="1" applyAlignment="1">
      <alignment horizontal="center" vertical="center" wrapText="1"/>
    </xf>
    <xf numFmtId="0" fontId="54" fillId="0" borderId="0" xfId="54" applyFont="1" applyFill="1" applyAlignment="1">
      <alignment horizontal="center" vertical="center" wrapText="1"/>
    </xf>
  </cellXfs>
  <cellStyles count="58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5 2 2 4 2 2" xfId="57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 6 4 2 2" xfId="56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997" t="s">
        <v>625</v>
      </c>
      <c r="V12" s="2997"/>
      <c r="W12" s="2997"/>
    </row>
    <row r="13" spans="8:23" x14ac:dyDescent="0.35">
      <c r="Q13" s="877"/>
      <c r="U13" s="2997" t="s">
        <v>450</v>
      </c>
      <c r="V13" s="2997"/>
      <c r="W13" s="2997"/>
    </row>
    <row r="14" spans="8:23" x14ac:dyDescent="0.35">
      <c r="M14" s="261"/>
      <c r="N14" s="261"/>
      <c r="O14" s="261"/>
      <c r="P14" s="261"/>
      <c r="Q14" s="261"/>
      <c r="R14" s="261"/>
      <c r="S14" s="2997" t="s">
        <v>449</v>
      </c>
      <c r="T14" s="2997"/>
      <c r="U14" s="2997"/>
      <c r="V14" s="2997"/>
      <c r="W14" s="2997"/>
    </row>
    <row r="15" spans="8:23" x14ac:dyDescent="0.35">
      <c r="M15" s="261"/>
      <c r="N15" s="261"/>
      <c r="O15" s="261"/>
      <c r="P15" s="261"/>
      <c r="Q15" s="261"/>
      <c r="R15" s="261"/>
      <c r="T15" s="2997" t="s">
        <v>448</v>
      </c>
      <c r="U15" s="2997"/>
      <c r="V15" s="2997"/>
      <c r="W15" s="2997"/>
    </row>
    <row r="16" spans="8:23" x14ac:dyDescent="0.35">
      <c r="Q16" s="541"/>
      <c r="R16" s="387" t="s">
        <v>617</v>
      </c>
      <c r="U16" s="3001" t="s">
        <v>892</v>
      </c>
      <c r="V16" s="3001"/>
      <c r="W16" s="3001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2998" t="s">
        <v>629</v>
      </c>
      <c r="B24" s="2998"/>
      <c r="C24" s="2998"/>
      <c r="D24" s="2998"/>
      <c r="E24" s="2998"/>
      <c r="F24" s="2998"/>
      <c r="G24" s="2998"/>
      <c r="H24" s="2998"/>
      <c r="I24" s="2998"/>
      <c r="J24" s="2998"/>
      <c r="K24" s="2998"/>
      <c r="L24" s="2998"/>
      <c r="M24" s="2998"/>
      <c r="N24" s="2998"/>
      <c r="O24" s="2998"/>
      <c r="P24" s="2998"/>
      <c r="Q24" s="2998"/>
      <c r="R24" s="2998"/>
      <c r="S24" s="2998"/>
      <c r="T24" s="2998"/>
      <c r="U24" s="2998"/>
      <c r="V24" s="2998"/>
      <c r="W24" s="2998"/>
    </row>
    <row r="25" spans="1:23" ht="17.5" x14ac:dyDescent="0.35">
      <c r="A25" s="2998" t="s">
        <v>630</v>
      </c>
      <c r="B25" s="2998"/>
      <c r="C25" s="2998"/>
      <c r="D25" s="2998"/>
      <c r="E25" s="2998"/>
      <c r="F25" s="2998"/>
      <c r="G25" s="2998"/>
      <c r="H25" s="2998"/>
      <c r="I25" s="2998"/>
      <c r="J25" s="2998"/>
      <c r="K25" s="2998"/>
      <c r="L25" s="2998"/>
      <c r="M25" s="2998"/>
      <c r="N25" s="2998"/>
      <c r="O25" s="2998"/>
      <c r="P25" s="2998"/>
      <c r="Q25" s="2998"/>
      <c r="R25" s="2998"/>
      <c r="S25" s="2998"/>
      <c r="T25" s="2998"/>
      <c r="U25" s="2998"/>
      <c r="V25" s="2998"/>
      <c r="W25" s="2998"/>
    </row>
    <row r="26" spans="1:23" ht="17.5" hidden="1" x14ac:dyDescent="0.35">
      <c r="A26" s="2998"/>
      <c r="B26" s="2998"/>
      <c r="C26" s="2998"/>
      <c r="D26" s="2998"/>
      <c r="E26" s="2998"/>
      <c r="F26" s="2998"/>
      <c r="G26" s="2998"/>
      <c r="H26" s="2998"/>
      <c r="I26" s="2998"/>
      <c r="J26" s="2998"/>
      <c r="K26" s="2998"/>
      <c r="L26" s="2998"/>
    </row>
    <row r="27" spans="1:23" ht="17.5" x14ac:dyDescent="0.35">
      <c r="A27" s="2998" t="s">
        <v>945</v>
      </c>
      <c r="B27" s="2998"/>
      <c r="C27" s="2998"/>
      <c r="D27" s="2998"/>
      <c r="E27" s="2998"/>
      <c r="F27" s="2998"/>
      <c r="G27" s="2998"/>
      <c r="H27" s="2998"/>
      <c r="I27" s="2998"/>
      <c r="J27" s="2998"/>
      <c r="K27" s="2998"/>
      <c r="L27" s="2998"/>
      <c r="M27" s="2998"/>
      <c r="N27" s="2998"/>
      <c r="O27" s="2998"/>
      <c r="P27" s="2998"/>
      <c r="Q27" s="2998"/>
      <c r="R27" s="2998"/>
      <c r="S27" s="2998"/>
      <c r="T27" s="2998"/>
      <c r="U27" s="2998"/>
      <c r="V27" s="2998"/>
      <c r="W27" s="2998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999"/>
      <c r="L28" s="2999"/>
      <c r="R28" s="3000"/>
      <c r="S28" s="3000"/>
      <c r="T28" s="3000" t="s">
        <v>631</v>
      </c>
      <c r="U28" s="3000"/>
      <c r="W28" s="541" t="s">
        <v>631</v>
      </c>
    </row>
    <row r="29" spans="1:23" x14ac:dyDescent="0.35">
      <c r="A29" s="3012" t="s">
        <v>632</v>
      </c>
      <c r="B29" s="3013"/>
      <c r="C29" s="3014"/>
      <c r="D29" s="3015" t="s">
        <v>633</v>
      </c>
      <c r="E29" s="3016"/>
      <c r="F29" s="3016"/>
      <c r="G29" s="3016"/>
      <c r="H29" s="3016"/>
      <c r="I29" s="3016"/>
      <c r="J29" s="3017"/>
      <c r="K29" s="3015" t="s">
        <v>795</v>
      </c>
      <c r="L29" s="3017"/>
      <c r="M29" s="3021" t="s">
        <v>635</v>
      </c>
      <c r="N29" s="3023" t="s">
        <v>636</v>
      </c>
      <c r="O29" s="3023" t="s">
        <v>637</v>
      </c>
      <c r="P29" s="3021" t="s">
        <v>638</v>
      </c>
      <c r="Q29" s="3042" t="s">
        <v>639</v>
      </c>
      <c r="R29" s="3002" t="s">
        <v>634</v>
      </c>
      <c r="S29" s="3003"/>
      <c r="T29" s="3002" t="s">
        <v>640</v>
      </c>
      <c r="U29" s="3003"/>
      <c r="V29" s="3017" t="s">
        <v>843</v>
      </c>
      <c r="W29" s="3017" t="s">
        <v>894</v>
      </c>
    </row>
    <row r="30" spans="1:23" ht="16" thickBot="1" x14ac:dyDescent="0.4">
      <c r="A30" s="3006" t="s">
        <v>641</v>
      </c>
      <c r="B30" s="2999"/>
      <c r="C30" s="3007"/>
      <c r="D30" s="3018"/>
      <c r="E30" s="3019"/>
      <c r="F30" s="3019"/>
      <c r="G30" s="3019"/>
      <c r="H30" s="3019"/>
      <c r="I30" s="3019"/>
      <c r="J30" s="3020"/>
      <c r="K30" s="3018"/>
      <c r="L30" s="3020"/>
      <c r="M30" s="3022"/>
      <c r="N30" s="3024"/>
      <c r="O30" s="3024"/>
      <c r="P30" s="3022"/>
      <c r="Q30" s="3043"/>
      <c r="R30" s="3004"/>
      <c r="S30" s="3005"/>
      <c r="T30" s="3004"/>
      <c r="U30" s="3005"/>
      <c r="V30" s="3020"/>
      <c r="W30" s="3020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008">
        <v>3</v>
      </c>
      <c r="L31" s="3009"/>
      <c r="M31" s="878"/>
      <c r="N31" s="878"/>
      <c r="O31" s="878"/>
      <c r="P31" s="878"/>
      <c r="Q31" s="879"/>
      <c r="R31" s="3010">
        <v>3</v>
      </c>
      <c r="S31" s="3011"/>
      <c r="T31" s="3010">
        <v>3</v>
      </c>
      <c r="U31" s="3011"/>
      <c r="V31" s="1043">
        <v>4</v>
      </c>
      <c r="W31" s="1043">
        <v>5</v>
      </c>
    </row>
    <row r="32" spans="1:23" ht="15.65" customHeight="1" x14ac:dyDescent="0.25">
      <c r="A32" s="3025" t="s">
        <v>642</v>
      </c>
      <c r="B32" s="3026"/>
      <c r="C32" s="3027"/>
      <c r="D32" s="3031" t="s">
        <v>643</v>
      </c>
      <c r="E32" s="3032"/>
      <c r="F32" s="3032"/>
      <c r="G32" s="3032"/>
      <c r="H32" s="3032"/>
      <c r="I32" s="3032"/>
      <c r="J32" s="3033"/>
      <c r="K32" s="3037">
        <f>K34+K38+K41+K45+K51+K57+K76+K82+K94+K98</f>
        <v>70020.800000000003</v>
      </c>
      <c r="L32" s="3038"/>
      <c r="M32" s="3041">
        <v>17235.358</v>
      </c>
      <c r="N32" s="3041"/>
      <c r="O32" s="3041"/>
      <c r="P32" s="3041">
        <f>P34+P45+P51+P57+P76+P82+P98</f>
        <v>24582.394</v>
      </c>
      <c r="Q32" s="3041">
        <v>20829</v>
      </c>
      <c r="R32" s="3044">
        <f>R34+R45+R51+R57+R76+R82+R98+R41+R38+R94</f>
        <v>73596.200000000012</v>
      </c>
      <c r="S32" s="3045"/>
      <c r="T32" s="3044">
        <f>T34+T45+T51+T57+T76+T82+T98+T41+T38+T94</f>
        <v>75660.700000000012</v>
      </c>
      <c r="U32" s="3045"/>
      <c r="V32" s="3038">
        <f>V34+V38+V41+V45+V51+V57+V76+V82+V94+V98</f>
        <v>71015</v>
      </c>
      <c r="W32" s="3038">
        <f>W34+W38+W41+W45+W51+W57+W76+W82+W94+W98</f>
        <v>73852.100000000006</v>
      </c>
    </row>
    <row r="33" spans="1:23" ht="13.9" customHeight="1" thickBot="1" x14ac:dyDescent="0.3">
      <c r="A33" s="3028"/>
      <c r="B33" s="3029"/>
      <c r="C33" s="3030"/>
      <c r="D33" s="3034"/>
      <c r="E33" s="3035"/>
      <c r="F33" s="3035"/>
      <c r="G33" s="3035"/>
      <c r="H33" s="3035"/>
      <c r="I33" s="3035"/>
      <c r="J33" s="3036"/>
      <c r="K33" s="3039"/>
      <c r="L33" s="3040"/>
      <c r="M33" s="3041"/>
      <c r="N33" s="3041"/>
      <c r="O33" s="3041"/>
      <c r="P33" s="3041"/>
      <c r="Q33" s="3041"/>
      <c r="R33" s="3046"/>
      <c r="S33" s="3047"/>
      <c r="T33" s="3046"/>
      <c r="U33" s="3047"/>
      <c r="V33" s="3040"/>
      <c r="W33" s="3040"/>
    </row>
    <row r="34" spans="1:23" ht="15" x14ac:dyDescent="0.3">
      <c r="A34" s="976" t="s">
        <v>644</v>
      </c>
      <c r="B34" s="977"/>
      <c r="C34" s="978"/>
      <c r="D34" s="3031" t="s">
        <v>645</v>
      </c>
      <c r="E34" s="3032"/>
      <c r="F34" s="3032"/>
      <c r="G34" s="3032"/>
      <c r="H34" s="3032"/>
      <c r="I34" s="3032"/>
      <c r="J34" s="3033"/>
      <c r="K34" s="3037">
        <f>K36</f>
        <v>29944</v>
      </c>
      <c r="L34" s="3038"/>
      <c r="M34" s="3041">
        <v>4523.7</v>
      </c>
      <c r="N34" s="3041"/>
      <c r="O34" s="3041"/>
      <c r="P34" s="3041">
        <f>P36</f>
        <v>5592.7</v>
      </c>
      <c r="Q34" s="3048">
        <v>4938.4639999999999</v>
      </c>
      <c r="R34" s="3044">
        <f>R36</f>
        <v>25200</v>
      </c>
      <c r="S34" s="3045"/>
      <c r="T34" s="3044">
        <f>T36</f>
        <v>26208</v>
      </c>
      <c r="U34" s="3045"/>
      <c r="V34" s="3038">
        <f>V36</f>
        <v>31122.22</v>
      </c>
      <c r="W34" s="3038">
        <f>W36</f>
        <v>32361</v>
      </c>
    </row>
    <row r="35" spans="1:23" thickBot="1" x14ac:dyDescent="0.35">
      <c r="A35" s="979" t="s">
        <v>646</v>
      </c>
      <c r="B35" s="980"/>
      <c r="C35" s="981"/>
      <c r="D35" s="3034"/>
      <c r="E35" s="3035"/>
      <c r="F35" s="3035"/>
      <c r="G35" s="3035"/>
      <c r="H35" s="3035"/>
      <c r="I35" s="3035"/>
      <c r="J35" s="3036"/>
      <c r="K35" s="3039"/>
      <c r="L35" s="3040"/>
      <c r="M35" s="3041"/>
      <c r="N35" s="3041"/>
      <c r="O35" s="3041"/>
      <c r="P35" s="3041"/>
      <c r="Q35" s="3048"/>
      <c r="R35" s="3046"/>
      <c r="S35" s="3047"/>
      <c r="T35" s="3046"/>
      <c r="U35" s="3047"/>
      <c r="V35" s="3040"/>
      <c r="W35" s="3040"/>
    </row>
    <row r="36" spans="1:23" x14ac:dyDescent="0.35">
      <c r="A36" s="3012" t="s">
        <v>647</v>
      </c>
      <c r="B36" s="3013"/>
      <c r="C36" s="3014"/>
      <c r="D36" s="982"/>
      <c r="E36" s="983"/>
      <c r="F36" s="983"/>
      <c r="G36" s="983"/>
      <c r="H36" s="983"/>
      <c r="I36" s="983"/>
      <c r="J36" s="984"/>
      <c r="K36" s="3076">
        <f>29994-50</f>
        <v>29944</v>
      </c>
      <c r="L36" s="3077"/>
      <c r="M36" s="3041">
        <v>4523.7</v>
      </c>
      <c r="N36" s="3041">
        <v>534.5</v>
      </c>
      <c r="O36" s="3041">
        <v>534.5</v>
      </c>
      <c r="P36" s="3041">
        <f>M36+N36+O36</f>
        <v>5592.7</v>
      </c>
      <c r="Q36" s="3048">
        <v>4938.4639999999999</v>
      </c>
      <c r="R36" s="3059">
        <v>25200</v>
      </c>
      <c r="S36" s="3060"/>
      <c r="T36" s="3059">
        <v>26208</v>
      </c>
      <c r="U36" s="3060"/>
      <c r="V36" s="3077">
        <f>31193-70.78</f>
        <v>31122.22</v>
      </c>
      <c r="W36" s="3077">
        <f>32411-50</f>
        <v>32361</v>
      </c>
    </row>
    <row r="37" spans="1:23" ht="16" thickBot="1" x14ac:dyDescent="0.4">
      <c r="A37" s="3006"/>
      <c r="B37" s="2999"/>
      <c r="C37" s="3007"/>
      <c r="D37" s="985" t="s">
        <v>648</v>
      </c>
      <c r="E37" s="986"/>
      <c r="F37" s="986"/>
      <c r="G37" s="986"/>
      <c r="H37" s="986"/>
      <c r="I37" s="986"/>
      <c r="J37" s="987"/>
      <c r="K37" s="3078"/>
      <c r="L37" s="3079"/>
      <c r="M37" s="3041"/>
      <c r="N37" s="3041"/>
      <c r="O37" s="3041"/>
      <c r="P37" s="3041"/>
      <c r="Q37" s="3048"/>
      <c r="R37" s="3061"/>
      <c r="S37" s="3062"/>
      <c r="T37" s="3061"/>
      <c r="U37" s="3062"/>
      <c r="V37" s="3079"/>
      <c r="W37" s="3079"/>
    </row>
    <row r="38" spans="1:23" ht="15.65" customHeight="1" x14ac:dyDescent="0.25">
      <c r="A38" s="3063" t="s">
        <v>649</v>
      </c>
      <c r="B38" s="3064"/>
      <c r="C38" s="3065"/>
      <c r="D38" s="3069" t="s">
        <v>650</v>
      </c>
      <c r="E38" s="3070"/>
      <c r="F38" s="3070"/>
      <c r="G38" s="3070"/>
      <c r="H38" s="3070"/>
      <c r="I38" s="3070"/>
      <c r="J38" s="3071"/>
      <c r="K38" s="3037">
        <f>K40</f>
        <v>917.21400000000006</v>
      </c>
      <c r="L38" s="3038"/>
      <c r="M38" s="3041">
        <v>9794</v>
      </c>
      <c r="N38" s="3041"/>
      <c r="O38" s="3041"/>
      <c r="P38" s="3041" t="e">
        <f>#REF!+P41+P42</f>
        <v>#REF!</v>
      </c>
      <c r="Q38" s="3075">
        <v>12087.288329999999</v>
      </c>
      <c r="R38" s="3044">
        <f>R40</f>
        <v>0</v>
      </c>
      <c r="S38" s="3045"/>
      <c r="T38" s="3044">
        <f>T40</f>
        <v>0</v>
      </c>
      <c r="U38" s="3045"/>
      <c r="V38" s="3038">
        <f>V40</f>
        <v>948.322</v>
      </c>
      <c r="W38" s="3038">
        <f>W40</f>
        <v>948.322</v>
      </c>
    </row>
    <row r="39" spans="1:23" ht="16.149999999999999" customHeight="1" thickBot="1" x14ac:dyDescent="0.3">
      <c r="A39" s="3066"/>
      <c r="B39" s="3067"/>
      <c r="C39" s="3068"/>
      <c r="D39" s="3072"/>
      <c r="E39" s="3073"/>
      <c r="F39" s="3073"/>
      <c r="G39" s="3073"/>
      <c r="H39" s="3073"/>
      <c r="I39" s="3073"/>
      <c r="J39" s="3074"/>
      <c r="K39" s="3039"/>
      <c r="L39" s="3040"/>
      <c r="M39" s="3041"/>
      <c r="N39" s="3041"/>
      <c r="O39" s="3041"/>
      <c r="P39" s="3041"/>
      <c r="Q39" s="3075"/>
      <c r="R39" s="3046"/>
      <c r="S39" s="3047"/>
      <c r="T39" s="3046"/>
      <c r="U39" s="3047"/>
      <c r="V39" s="3040"/>
      <c r="W39" s="3040"/>
    </row>
    <row r="40" spans="1:23" ht="31.15" customHeight="1" thickBot="1" x14ac:dyDescent="0.4">
      <c r="A40" s="3049" t="s">
        <v>651</v>
      </c>
      <c r="B40" s="3050"/>
      <c r="C40" s="3051"/>
      <c r="D40" s="3052" t="s">
        <v>652</v>
      </c>
      <c r="E40" s="3053"/>
      <c r="F40" s="3053"/>
      <c r="G40" s="3053"/>
      <c r="H40" s="3053"/>
      <c r="I40" s="3053"/>
      <c r="J40" s="3054"/>
      <c r="K40" s="3055">
        <v>917.21400000000006</v>
      </c>
      <c r="L40" s="3056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057"/>
      <c r="S40" s="3058"/>
      <c r="T40" s="3057"/>
      <c r="U40" s="3058"/>
      <c r="V40" s="1044">
        <v>948.322</v>
      </c>
      <c r="W40" s="1044">
        <v>948.322</v>
      </c>
    </row>
    <row r="41" spans="1:23" ht="15.65" customHeight="1" x14ac:dyDescent="0.25">
      <c r="A41" s="3063" t="s">
        <v>653</v>
      </c>
      <c r="B41" s="3064"/>
      <c r="C41" s="3065"/>
      <c r="D41" s="3084" t="s">
        <v>654</v>
      </c>
      <c r="E41" s="3085"/>
      <c r="F41" s="3085"/>
      <c r="G41" s="3085"/>
      <c r="H41" s="3085"/>
      <c r="I41" s="3085"/>
      <c r="J41" s="3086"/>
      <c r="K41" s="3037">
        <f>K44</f>
        <v>489</v>
      </c>
      <c r="L41" s="3038"/>
      <c r="M41" s="3041">
        <v>9794</v>
      </c>
      <c r="N41" s="3041"/>
      <c r="O41" s="3041"/>
      <c r="P41" s="3041">
        <f>P44+P45+P46</f>
        <v>15318</v>
      </c>
      <c r="Q41" s="3075">
        <v>12087.288329999999</v>
      </c>
      <c r="R41" s="3044">
        <f>R44</f>
        <v>75.8</v>
      </c>
      <c r="S41" s="3045"/>
      <c r="T41" s="3044">
        <f>T44</f>
        <v>80</v>
      </c>
      <c r="U41" s="3045"/>
      <c r="V41" s="3038">
        <f>V44</f>
        <v>509</v>
      </c>
      <c r="W41" s="3038">
        <f>W44</f>
        <v>529</v>
      </c>
    </row>
    <row r="42" spans="1:23" ht="16.149999999999999" customHeight="1" thickBot="1" x14ac:dyDescent="0.3">
      <c r="A42" s="3066"/>
      <c r="B42" s="3067"/>
      <c r="C42" s="3068"/>
      <c r="D42" s="3087"/>
      <c r="E42" s="3088"/>
      <c r="F42" s="3088"/>
      <c r="G42" s="3088"/>
      <c r="H42" s="3088"/>
      <c r="I42" s="3088"/>
      <c r="J42" s="3089"/>
      <c r="K42" s="3039"/>
      <c r="L42" s="3040"/>
      <c r="M42" s="3041"/>
      <c r="N42" s="3041"/>
      <c r="O42" s="3041"/>
      <c r="P42" s="3041"/>
      <c r="Q42" s="3075"/>
      <c r="R42" s="3046"/>
      <c r="S42" s="3047"/>
      <c r="T42" s="3046"/>
      <c r="U42" s="3047"/>
      <c r="V42" s="3040"/>
      <c r="W42" s="3040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3008" t="s">
        <v>655</v>
      </c>
      <c r="B44" s="3080"/>
      <c r="C44" s="3009"/>
      <c r="D44" s="3081" t="s">
        <v>656</v>
      </c>
      <c r="E44" s="3082"/>
      <c r="F44" s="3082"/>
      <c r="G44" s="3082"/>
      <c r="H44" s="3082"/>
      <c r="I44" s="3082"/>
      <c r="J44" s="3083"/>
      <c r="K44" s="3055">
        <v>489</v>
      </c>
      <c r="L44" s="3056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057">
        <v>75.8</v>
      </c>
      <c r="S44" s="3058"/>
      <c r="T44" s="3057">
        <v>80</v>
      </c>
      <c r="U44" s="3058"/>
      <c r="V44" s="1044">
        <v>509</v>
      </c>
      <c r="W44" s="1044">
        <v>529</v>
      </c>
    </row>
    <row r="45" spans="1:23" ht="15.65" customHeight="1" x14ac:dyDescent="0.25">
      <c r="A45" s="3063" t="s">
        <v>657</v>
      </c>
      <c r="B45" s="3064"/>
      <c r="C45" s="3065"/>
      <c r="D45" s="3084" t="s">
        <v>658</v>
      </c>
      <c r="E45" s="3085"/>
      <c r="F45" s="3085"/>
      <c r="G45" s="3085"/>
      <c r="H45" s="3085"/>
      <c r="I45" s="3085"/>
      <c r="J45" s="3086"/>
      <c r="K45" s="3037">
        <f>K48+K50+K49</f>
        <v>36055.786</v>
      </c>
      <c r="L45" s="3038"/>
      <c r="M45" s="3041">
        <v>9794</v>
      </c>
      <c r="N45" s="3041"/>
      <c r="O45" s="3041"/>
      <c r="P45" s="3041">
        <f>P48+P49+P50</f>
        <v>15194</v>
      </c>
      <c r="Q45" s="3075">
        <v>12087.288329999999</v>
      </c>
      <c r="R45" s="3044">
        <f>R48+R50+R49</f>
        <v>44797.8</v>
      </c>
      <c r="S45" s="3045"/>
      <c r="T45" s="3044">
        <f>T48+T50+T49</f>
        <v>46588.6</v>
      </c>
      <c r="U45" s="3045"/>
      <c r="V45" s="3038">
        <f>V48+V50</f>
        <v>36512.678</v>
      </c>
      <c r="W45" s="3038">
        <f>W48+W50</f>
        <v>38023.896999999997</v>
      </c>
    </row>
    <row r="46" spans="1:23" ht="16.149999999999999" customHeight="1" thickBot="1" x14ac:dyDescent="0.3">
      <c r="A46" s="3066"/>
      <c r="B46" s="3067"/>
      <c r="C46" s="3068"/>
      <c r="D46" s="3087"/>
      <c r="E46" s="3088"/>
      <c r="F46" s="3088"/>
      <c r="G46" s="3088"/>
      <c r="H46" s="3088"/>
      <c r="I46" s="3088"/>
      <c r="J46" s="3089"/>
      <c r="K46" s="3039"/>
      <c r="L46" s="3040"/>
      <c r="M46" s="3041"/>
      <c r="N46" s="3041"/>
      <c r="O46" s="3041"/>
      <c r="P46" s="3041"/>
      <c r="Q46" s="3075"/>
      <c r="R46" s="3046"/>
      <c r="S46" s="3047"/>
      <c r="T46" s="3046"/>
      <c r="U46" s="3047"/>
      <c r="V46" s="3040"/>
      <c r="W46" s="3040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3008" t="s">
        <v>659</v>
      </c>
      <c r="B48" s="3080"/>
      <c r="C48" s="3009"/>
      <c r="D48" s="972" t="s">
        <v>660</v>
      </c>
      <c r="E48" s="975"/>
      <c r="F48" s="975"/>
      <c r="G48" s="975"/>
      <c r="H48" s="975"/>
      <c r="I48" s="975"/>
      <c r="J48" s="974"/>
      <c r="K48" s="3055">
        <v>6290</v>
      </c>
      <c r="L48" s="3056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057">
        <v>3816</v>
      </c>
      <c r="S48" s="3058"/>
      <c r="T48" s="3057">
        <v>3968.6</v>
      </c>
      <c r="U48" s="3058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3008" t="s">
        <v>661</v>
      </c>
      <c r="B49" s="3080"/>
      <c r="C49" s="3009"/>
      <c r="D49" s="996" t="s">
        <v>662</v>
      </c>
      <c r="E49" s="997"/>
      <c r="F49" s="997"/>
      <c r="G49" s="997"/>
      <c r="H49" s="997"/>
      <c r="I49" s="997"/>
      <c r="J49" s="998"/>
      <c r="K49" s="3055"/>
      <c r="L49" s="3056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057">
        <v>9783.7999999999993</v>
      </c>
      <c r="S49" s="3058"/>
      <c r="T49" s="3057">
        <v>10175</v>
      </c>
      <c r="U49" s="3058"/>
      <c r="V49" s="1044"/>
      <c r="W49" s="1044"/>
    </row>
    <row r="50" spans="1:23" ht="16" thickBot="1" x14ac:dyDescent="0.4">
      <c r="A50" s="3008" t="s">
        <v>663</v>
      </c>
      <c r="B50" s="3080"/>
      <c r="C50" s="3009"/>
      <c r="D50" s="972" t="s">
        <v>664</v>
      </c>
      <c r="E50" s="975"/>
      <c r="F50" s="975"/>
      <c r="G50" s="975"/>
      <c r="H50" s="975"/>
      <c r="I50" s="975"/>
      <c r="J50" s="974"/>
      <c r="K50" s="3090">
        <f>29811-45.214</f>
        <v>29765.786</v>
      </c>
      <c r="L50" s="3091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092">
        <v>31198</v>
      </c>
      <c r="S50" s="3093"/>
      <c r="T50" s="3092">
        <v>32445</v>
      </c>
      <c r="U50" s="3093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3063" t="s">
        <v>665</v>
      </c>
      <c r="B51" s="3064"/>
      <c r="C51" s="3065"/>
      <c r="D51" s="3084" t="s">
        <v>666</v>
      </c>
      <c r="E51" s="3085"/>
      <c r="F51" s="3085"/>
      <c r="G51" s="3085"/>
      <c r="H51" s="3085"/>
      <c r="I51" s="3085"/>
      <c r="J51" s="3086"/>
      <c r="K51" s="3037">
        <f>K53</f>
        <v>5</v>
      </c>
      <c r="L51" s="3038"/>
      <c r="M51" s="3041">
        <v>17</v>
      </c>
      <c r="N51" s="3041"/>
      <c r="O51" s="3041"/>
      <c r="P51" s="3041">
        <f>M51+N51+O51</f>
        <v>17</v>
      </c>
      <c r="Q51" s="3041">
        <v>3.9649999999999999</v>
      </c>
      <c r="R51" s="3044">
        <f>R53</f>
        <v>8</v>
      </c>
      <c r="S51" s="3045"/>
      <c r="T51" s="3044">
        <f>T53</f>
        <v>10</v>
      </c>
      <c r="U51" s="3045"/>
      <c r="V51" s="3038">
        <f>V53</f>
        <v>7</v>
      </c>
      <c r="W51" s="3038">
        <f>W53</f>
        <v>10</v>
      </c>
    </row>
    <row r="52" spans="1:23" ht="13.9" customHeight="1" thickBot="1" x14ac:dyDescent="0.3">
      <c r="A52" s="3066"/>
      <c r="B52" s="3067"/>
      <c r="C52" s="3068"/>
      <c r="D52" s="3087"/>
      <c r="E52" s="3088"/>
      <c r="F52" s="3088"/>
      <c r="G52" s="3088"/>
      <c r="H52" s="3088"/>
      <c r="I52" s="3088"/>
      <c r="J52" s="3089"/>
      <c r="K52" s="3039"/>
      <c r="L52" s="3040"/>
      <c r="M52" s="3041"/>
      <c r="N52" s="3041"/>
      <c r="O52" s="3041"/>
      <c r="P52" s="3041"/>
      <c r="Q52" s="3041"/>
      <c r="R52" s="3046"/>
      <c r="S52" s="3047"/>
      <c r="T52" s="3046"/>
      <c r="U52" s="3047"/>
      <c r="V52" s="3040"/>
      <c r="W52" s="3040"/>
    </row>
    <row r="53" spans="1:23" x14ac:dyDescent="0.35">
      <c r="A53" s="3015" t="s">
        <v>667</v>
      </c>
      <c r="B53" s="3016"/>
      <c r="C53" s="3017"/>
      <c r="D53" s="982" t="s">
        <v>668</v>
      </c>
      <c r="E53" s="983"/>
      <c r="F53" s="983"/>
      <c r="G53" s="983"/>
      <c r="H53" s="983"/>
      <c r="I53" s="983"/>
      <c r="J53" s="983"/>
      <c r="K53" s="3076">
        <v>5</v>
      </c>
      <c r="L53" s="3077"/>
      <c r="M53" s="3041">
        <v>17</v>
      </c>
      <c r="N53" s="3041"/>
      <c r="O53" s="3041"/>
      <c r="P53" s="3041">
        <f>M53+N53+O53</f>
        <v>17</v>
      </c>
      <c r="Q53" s="3041">
        <v>3.9649999999999999</v>
      </c>
      <c r="R53" s="3059">
        <v>8</v>
      </c>
      <c r="S53" s="3060"/>
      <c r="T53" s="3059">
        <v>10</v>
      </c>
      <c r="U53" s="3060"/>
      <c r="V53" s="3077">
        <v>7</v>
      </c>
      <c r="W53" s="3077">
        <v>10</v>
      </c>
    </row>
    <row r="54" spans="1:23" x14ac:dyDescent="0.35">
      <c r="A54" s="3094"/>
      <c r="B54" s="3095"/>
      <c r="C54" s="3096"/>
      <c r="D54" s="996" t="s">
        <v>669</v>
      </c>
      <c r="E54" s="997"/>
      <c r="F54" s="997"/>
      <c r="G54" s="997"/>
      <c r="H54" s="997"/>
      <c r="I54" s="997"/>
      <c r="J54" s="997"/>
      <c r="K54" s="3097"/>
      <c r="L54" s="3098"/>
      <c r="M54" s="3041"/>
      <c r="N54" s="3041"/>
      <c r="O54" s="3041"/>
      <c r="P54" s="3041"/>
      <c r="Q54" s="3041"/>
      <c r="R54" s="3099"/>
      <c r="S54" s="3100"/>
      <c r="T54" s="3099"/>
      <c r="U54" s="3100"/>
      <c r="V54" s="3098"/>
      <c r="W54" s="3098"/>
    </row>
    <row r="55" spans="1:23" x14ac:dyDescent="0.35">
      <c r="A55" s="3094"/>
      <c r="B55" s="3095"/>
      <c r="C55" s="3096"/>
      <c r="D55" s="996" t="s">
        <v>670</v>
      </c>
      <c r="E55" s="997"/>
      <c r="F55" s="997"/>
      <c r="G55" s="997"/>
      <c r="H55" s="997"/>
      <c r="I55" s="997"/>
      <c r="J55" s="997"/>
      <c r="K55" s="3097"/>
      <c r="L55" s="3098"/>
      <c r="M55" s="3041"/>
      <c r="N55" s="3041"/>
      <c r="O55" s="3041"/>
      <c r="P55" s="3041"/>
      <c r="Q55" s="3041"/>
      <c r="R55" s="3099"/>
      <c r="S55" s="3100"/>
      <c r="T55" s="3099"/>
      <c r="U55" s="3100"/>
      <c r="V55" s="3098"/>
      <c r="W55" s="3098"/>
    </row>
    <row r="56" spans="1:23" ht="16" thickBot="1" x14ac:dyDescent="0.4">
      <c r="A56" s="3018"/>
      <c r="B56" s="3019"/>
      <c r="C56" s="3020"/>
      <c r="D56" s="985" t="s">
        <v>671</v>
      </c>
      <c r="E56" s="986"/>
      <c r="F56" s="986"/>
      <c r="G56" s="986"/>
      <c r="H56" s="986"/>
      <c r="I56" s="986"/>
      <c r="J56" s="986"/>
      <c r="K56" s="3078"/>
      <c r="L56" s="3079"/>
      <c r="M56" s="3041"/>
      <c r="N56" s="3041"/>
      <c r="O56" s="3041"/>
      <c r="P56" s="3041"/>
      <c r="Q56" s="3041"/>
      <c r="R56" s="3061"/>
      <c r="S56" s="3062"/>
      <c r="T56" s="3061"/>
      <c r="U56" s="3062"/>
      <c r="V56" s="3079"/>
      <c r="W56" s="3079"/>
    </row>
    <row r="57" spans="1:23" ht="15" x14ac:dyDescent="0.3">
      <c r="A57" s="3063" t="s">
        <v>672</v>
      </c>
      <c r="B57" s="3064"/>
      <c r="C57" s="3065"/>
      <c r="D57" s="976" t="s">
        <v>673</v>
      </c>
      <c r="E57" s="977"/>
      <c r="F57" s="977"/>
      <c r="G57" s="977"/>
      <c r="H57" s="977"/>
      <c r="I57" s="977"/>
      <c r="J57" s="978"/>
      <c r="K57" s="3104">
        <f>K60+K64+K72+K68</f>
        <v>1785.3</v>
      </c>
      <c r="L57" s="3105"/>
      <c r="M57" s="3041">
        <v>2183.6579999999999</v>
      </c>
      <c r="N57" s="3041"/>
      <c r="O57" s="3041"/>
      <c r="P57" s="3041">
        <f>P60+P64+P72</f>
        <v>2913.6940000000004</v>
      </c>
      <c r="Q57" s="3110">
        <v>2859.2967100000001</v>
      </c>
      <c r="R57" s="3111">
        <f>R60+R64+R72+R68</f>
        <v>1933</v>
      </c>
      <c r="S57" s="3112"/>
      <c r="T57" s="3111">
        <f>T60+T64+T72+T68</f>
        <v>1975</v>
      </c>
      <c r="U57" s="3112"/>
      <c r="V57" s="3105">
        <f>V68+V72</f>
        <v>1842.78</v>
      </c>
      <c r="W57" s="3105">
        <f>W68+W72</f>
        <v>1903.681</v>
      </c>
    </row>
    <row r="58" spans="1:23" ht="15" x14ac:dyDescent="0.3">
      <c r="A58" s="3101"/>
      <c r="B58" s="3102"/>
      <c r="C58" s="3103"/>
      <c r="D58" s="999" t="s">
        <v>674</v>
      </c>
      <c r="E58" s="1000"/>
      <c r="F58" s="1000"/>
      <c r="G58" s="1000"/>
      <c r="H58" s="1000"/>
      <c r="I58" s="1000"/>
      <c r="J58" s="1001"/>
      <c r="K58" s="3106"/>
      <c r="L58" s="3107"/>
      <c r="M58" s="3041"/>
      <c r="N58" s="3041"/>
      <c r="O58" s="3041"/>
      <c r="P58" s="3041"/>
      <c r="Q58" s="3110"/>
      <c r="R58" s="3113"/>
      <c r="S58" s="3114"/>
      <c r="T58" s="3113"/>
      <c r="U58" s="3114"/>
      <c r="V58" s="3107"/>
      <c r="W58" s="3107"/>
    </row>
    <row r="59" spans="1:23" thickBot="1" x14ac:dyDescent="0.35">
      <c r="A59" s="3066"/>
      <c r="B59" s="3067"/>
      <c r="C59" s="3068"/>
      <c r="D59" s="979" t="s">
        <v>675</v>
      </c>
      <c r="E59" s="980"/>
      <c r="F59" s="980"/>
      <c r="G59" s="980"/>
      <c r="H59" s="980"/>
      <c r="I59" s="980"/>
      <c r="J59" s="981"/>
      <c r="K59" s="3108"/>
      <c r="L59" s="3109"/>
      <c r="M59" s="3041"/>
      <c r="N59" s="3041"/>
      <c r="O59" s="3041"/>
      <c r="P59" s="3041"/>
      <c r="Q59" s="3110"/>
      <c r="R59" s="3115"/>
      <c r="S59" s="3116"/>
      <c r="T59" s="3115"/>
      <c r="U59" s="3116"/>
      <c r="V59" s="3109"/>
      <c r="W59" s="3109"/>
    </row>
    <row r="60" spans="1:23" ht="15.65" hidden="1" customHeight="1" thickBot="1" x14ac:dyDescent="0.4">
      <c r="A60" s="3015" t="s">
        <v>676</v>
      </c>
      <c r="B60" s="3016"/>
      <c r="C60" s="3017"/>
      <c r="D60" s="982" t="s">
        <v>677</v>
      </c>
      <c r="E60" s="983"/>
      <c r="F60" s="983"/>
      <c r="G60" s="983"/>
      <c r="H60" s="983"/>
      <c r="I60" s="983"/>
      <c r="J60" s="984"/>
      <c r="K60" s="3117"/>
      <c r="L60" s="3118"/>
      <c r="M60" s="3041">
        <v>1030</v>
      </c>
      <c r="N60" s="3041">
        <v>140</v>
      </c>
      <c r="O60" s="3041">
        <v>140</v>
      </c>
      <c r="P60" s="3041">
        <f>M60+N60+O60</f>
        <v>1310</v>
      </c>
      <c r="Q60" s="3110">
        <v>1430.7293099999999</v>
      </c>
      <c r="R60" s="3123"/>
      <c r="S60" s="3124"/>
      <c r="T60" s="3123"/>
      <c r="U60" s="3124"/>
      <c r="V60" s="3118"/>
      <c r="W60" s="3118"/>
    </row>
    <row r="61" spans="1:23" ht="15.65" hidden="1" customHeight="1" thickBot="1" x14ac:dyDescent="0.4">
      <c r="A61" s="3094"/>
      <c r="B61" s="3095"/>
      <c r="C61" s="3096"/>
      <c r="D61" s="996" t="s">
        <v>678</v>
      </c>
      <c r="E61" s="997"/>
      <c r="F61" s="997"/>
      <c r="G61" s="997"/>
      <c r="H61" s="997"/>
      <c r="I61" s="997"/>
      <c r="J61" s="998"/>
      <c r="K61" s="3119"/>
      <c r="L61" s="3120"/>
      <c r="M61" s="3041"/>
      <c r="N61" s="3041"/>
      <c r="O61" s="3041"/>
      <c r="P61" s="3041"/>
      <c r="Q61" s="3110"/>
      <c r="R61" s="3125"/>
      <c r="S61" s="3126"/>
      <c r="T61" s="3125"/>
      <c r="U61" s="3126"/>
      <c r="V61" s="3120"/>
      <c r="W61" s="3120"/>
    </row>
    <row r="62" spans="1:23" ht="15.65" hidden="1" customHeight="1" thickBot="1" x14ac:dyDescent="0.4">
      <c r="A62" s="3094"/>
      <c r="B62" s="3095"/>
      <c r="C62" s="3096"/>
      <c r="D62" s="996" t="s">
        <v>679</v>
      </c>
      <c r="E62" s="997"/>
      <c r="F62" s="997"/>
      <c r="G62" s="997"/>
      <c r="H62" s="997"/>
      <c r="I62" s="997"/>
      <c r="J62" s="998"/>
      <c r="K62" s="3119"/>
      <c r="L62" s="3120"/>
      <c r="M62" s="3041"/>
      <c r="N62" s="3041"/>
      <c r="O62" s="3041"/>
      <c r="P62" s="3041"/>
      <c r="Q62" s="3110"/>
      <c r="R62" s="3125"/>
      <c r="S62" s="3126"/>
      <c r="T62" s="3125"/>
      <c r="U62" s="3126"/>
      <c r="V62" s="3120"/>
      <c r="W62" s="3120"/>
    </row>
    <row r="63" spans="1:23" ht="15.65" hidden="1" customHeight="1" thickBot="1" x14ac:dyDescent="0.4">
      <c r="A63" s="3018"/>
      <c r="B63" s="3019"/>
      <c r="C63" s="3020"/>
      <c r="D63" s="985" t="s">
        <v>680</v>
      </c>
      <c r="E63" s="986"/>
      <c r="F63" s="986"/>
      <c r="G63" s="986"/>
      <c r="H63" s="986"/>
      <c r="I63" s="986"/>
      <c r="J63" s="987"/>
      <c r="K63" s="3121"/>
      <c r="L63" s="3122"/>
      <c r="M63" s="3041"/>
      <c r="N63" s="3041"/>
      <c r="O63" s="3041"/>
      <c r="P63" s="3041"/>
      <c r="Q63" s="3110"/>
      <c r="R63" s="3127"/>
      <c r="S63" s="3128"/>
      <c r="T63" s="3127"/>
      <c r="U63" s="3128"/>
      <c r="V63" s="3122"/>
      <c r="W63" s="3122"/>
    </row>
    <row r="64" spans="1:23" ht="15.65" hidden="1" customHeight="1" thickBot="1" x14ac:dyDescent="0.4">
      <c r="A64" s="3015" t="s">
        <v>681</v>
      </c>
      <c r="B64" s="3016"/>
      <c r="C64" s="3017"/>
      <c r="D64" s="982" t="s">
        <v>682</v>
      </c>
      <c r="E64" s="983"/>
      <c r="F64" s="983"/>
      <c r="G64" s="983"/>
      <c r="H64" s="983"/>
      <c r="I64" s="983"/>
      <c r="J64" s="984"/>
      <c r="K64" s="3117"/>
      <c r="L64" s="3118"/>
      <c r="M64" s="3041">
        <v>928.55</v>
      </c>
      <c r="N64" s="3041">
        <v>200</v>
      </c>
      <c r="O64" s="3041">
        <v>200</v>
      </c>
      <c r="P64" s="3041">
        <f>M64+N64+O64</f>
        <v>1328.55</v>
      </c>
      <c r="Q64" s="3110">
        <v>1007.7294000000001</v>
      </c>
      <c r="R64" s="3123"/>
      <c r="S64" s="3124"/>
      <c r="T64" s="3123"/>
      <c r="U64" s="3124"/>
      <c r="V64" s="3118"/>
      <c r="W64" s="3118"/>
    </row>
    <row r="65" spans="1:23" ht="14.25" hidden="1" customHeight="1" x14ac:dyDescent="0.35">
      <c r="A65" s="3094"/>
      <c r="B65" s="3095"/>
      <c r="C65" s="3096"/>
      <c r="D65" s="996" t="s">
        <v>683</v>
      </c>
      <c r="E65" s="997"/>
      <c r="F65" s="997"/>
      <c r="G65" s="997"/>
      <c r="H65" s="997"/>
      <c r="I65" s="997"/>
      <c r="J65" s="998"/>
      <c r="K65" s="3119"/>
      <c r="L65" s="3120"/>
      <c r="M65" s="3041"/>
      <c r="N65" s="3041"/>
      <c r="O65" s="3041"/>
      <c r="P65" s="3041"/>
      <c r="Q65" s="3110"/>
      <c r="R65" s="3125"/>
      <c r="S65" s="3126"/>
      <c r="T65" s="3125"/>
      <c r="U65" s="3126"/>
      <c r="V65" s="3120"/>
      <c r="W65" s="3120"/>
    </row>
    <row r="66" spans="1:23" ht="15.75" hidden="1" customHeight="1" x14ac:dyDescent="0.35">
      <c r="A66" s="3094"/>
      <c r="B66" s="3095"/>
      <c r="C66" s="3096"/>
      <c r="D66" s="996" t="s">
        <v>684</v>
      </c>
      <c r="E66" s="997"/>
      <c r="F66" s="997"/>
      <c r="G66" s="997"/>
      <c r="H66" s="997"/>
      <c r="I66" s="997"/>
      <c r="J66" s="998"/>
      <c r="K66" s="3119"/>
      <c r="L66" s="3120"/>
      <c r="M66" s="3041"/>
      <c r="N66" s="3041"/>
      <c r="O66" s="3041"/>
      <c r="P66" s="3041"/>
      <c r="Q66" s="3110"/>
      <c r="R66" s="3125"/>
      <c r="S66" s="3126"/>
      <c r="T66" s="3125"/>
      <c r="U66" s="3126"/>
      <c r="V66" s="3120"/>
      <c r="W66" s="3120"/>
    </row>
    <row r="67" spans="1:23" ht="15.75" hidden="1" customHeight="1" thickBot="1" x14ac:dyDescent="0.4">
      <c r="A67" s="3018"/>
      <c r="B67" s="3019"/>
      <c r="C67" s="3020"/>
      <c r="D67" s="985" t="s">
        <v>685</v>
      </c>
      <c r="E67" s="986"/>
      <c r="F67" s="986"/>
      <c r="G67" s="986"/>
      <c r="H67" s="986"/>
      <c r="I67" s="986"/>
      <c r="J67" s="987"/>
      <c r="K67" s="3121"/>
      <c r="L67" s="3122"/>
      <c r="M67" s="3041"/>
      <c r="N67" s="3041"/>
      <c r="O67" s="3041"/>
      <c r="P67" s="3041"/>
      <c r="Q67" s="3110"/>
      <c r="R67" s="3127"/>
      <c r="S67" s="3128"/>
      <c r="T67" s="3127"/>
      <c r="U67" s="3128"/>
      <c r="V67" s="3122"/>
      <c r="W67" s="3122"/>
    </row>
    <row r="68" spans="1:23" x14ac:dyDescent="0.35">
      <c r="A68" s="3015" t="s">
        <v>686</v>
      </c>
      <c r="B68" s="3016"/>
      <c r="C68" s="3017"/>
      <c r="D68" s="1002"/>
      <c r="E68" s="997"/>
      <c r="F68" s="997"/>
      <c r="G68" s="997"/>
      <c r="H68" s="997"/>
      <c r="I68" s="997"/>
      <c r="J68" s="998"/>
      <c r="K68" s="3117">
        <v>850.3</v>
      </c>
      <c r="L68" s="3118"/>
      <c r="M68" s="3041">
        <v>928.55</v>
      </c>
      <c r="N68" s="3041">
        <v>200</v>
      </c>
      <c r="O68" s="3041">
        <v>200</v>
      </c>
      <c r="P68" s="3041">
        <f>M68+N68+O68</f>
        <v>1328.55</v>
      </c>
      <c r="Q68" s="3110">
        <v>1007.7294000000001</v>
      </c>
      <c r="R68" s="3123">
        <v>1035</v>
      </c>
      <c r="S68" s="3124"/>
      <c r="T68" s="3123">
        <v>1040</v>
      </c>
      <c r="U68" s="3124"/>
      <c r="V68" s="3118">
        <v>851.68</v>
      </c>
      <c r="W68" s="3118">
        <v>853.08100000000002</v>
      </c>
    </row>
    <row r="69" spans="1:23" ht="14.25" customHeight="1" x14ac:dyDescent="0.35">
      <c r="A69" s="3094"/>
      <c r="B69" s="3095"/>
      <c r="C69" s="3096"/>
      <c r="D69" s="997" t="s">
        <v>687</v>
      </c>
      <c r="E69" s="997"/>
      <c r="F69" s="997"/>
      <c r="G69" s="997"/>
      <c r="H69" s="997"/>
      <c r="I69" s="997"/>
      <c r="J69" s="998"/>
      <c r="K69" s="3119"/>
      <c r="L69" s="3120"/>
      <c r="M69" s="3041"/>
      <c r="N69" s="3041"/>
      <c r="O69" s="3041"/>
      <c r="P69" s="3041"/>
      <c r="Q69" s="3110"/>
      <c r="R69" s="3125"/>
      <c r="S69" s="3126"/>
      <c r="T69" s="3125"/>
      <c r="U69" s="3126"/>
      <c r="V69" s="3120"/>
      <c r="W69" s="3120"/>
    </row>
    <row r="70" spans="1:23" ht="15.75" customHeight="1" x14ac:dyDescent="0.35">
      <c r="A70" s="3094"/>
      <c r="B70" s="3095"/>
      <c r="C70" s="3096"/>
      <c r="D70" s="997" t="s">
        <v>688</v>
      </c>
      <c r="E70" s="997"/>
      <c r="F70" s="997"/>
      <c r="G70" s="997"/>
      <c r="H70" s="997"/>
      <c r="I70" s="997"/>
      <c r="J70" s="998"/>
      <c r="K70" s="3119"/>
      <c r="L70" s="3120"/>
      <c r="M70" s="3041"/>
      <c r="N70" s="3041"/>
      <c r="O70" s="3041"/>
      <c r="P70" s="3041"/>
      <c r="Q70" s="3110"/>
      <c r="R70" s="3125"/>
      <c r="S70" s="3126"/>
      <c r="T70" s="3125"/>
      <c r="U70" s="3126"/>
      <c r="V70" s="3120"/>
      <c r="W70" s="3120"/>
    </row>
    <row r="71" spans="1:23" ht="15.75" customHeight="1" thickBot="1" x14ac:dyDescent="0.4">
      <c r="A71" s="3018"/>
      <c r="B71" s="3019"/>
      <c r="C71" s="3020"/>
      <c r="D71" s="986"/>
      <c r="E71" s="986"/>
      <c r="F71" s="986"/>
      <c r="G71" s="986"/>
      <c r="H71" s="986"/>
      <c r="I71" s="986"/>
      <c r="J71" s="987"/>
      <c r="K71" s="3121"/>
      <c r="L71" s="3122"/>
      <c r="M71" s="3041"/>
      <c r="N71" s="3041"/>
      <c r="O71" s="3041"/>
      <c r="P71" s="3041"/>
      <c r="Q71" s="3110"/>
      <c r="R71" s="3127"/>
      <c r="S71" s="3128"/>
      <c r="T71" s="3127"/>
      <c r="U71" s="3128"/>
      <c r="V71" s="3122"/>
      <c r="W71" s="3122"/>
    </row>
    <row r="72" spans="1:23" ht="15" customHeight="1" x14ac:dyDescent="0.35">
      <c r="A72" s="3015" t="s">
        <v>689</v>
      </c>
      <c r="B72" s="3016"/>
      <c r="C72" s="3017"/>
      <c r="D72" s="982" t="s">
        <v>690</v>
      </c>
      <c r="E72" s="983"/>
      <c r="F72" s="983"/>
      <c r="G72" s="983"/>
      <c r="H72" s="983"/>
      <c r="I72" s="983"/>
      <c r="J72" s="984"/>
      <c r="K72" s="3117">
        <v>935</v>
      </c>
      <c r="L72" s="3118"/>
      <c r="M72" s="3129">
        <v>225.108</v>
      </c>
      <c r="N72" s="3132">
        <f>24.9+0.118</f>
        <v>25.017999999999997</v>
      </c>
      <c r="O72" s="3132">
        <v>25.018000000000001</v>
      </c>
      <c r="P72" s="3135">
        <f>M72+N72+O72</f>
        <v>275.14400000000001</v>
      </c>
      <c r="Q72" s="3132">
        <v>420.83800000000002</v>
      </c>
      <c r="R72" s="3245">
        <v>898</v>
      </c>
      <c r="S72" s="3246"/>
      <c r="T72" s="3245">
        <v>935</v>
      </c>
      <c r="U72" s="3246"/>
      <c r="V72" s="3118">
        <v>991.1</v>
      </c>
      <c r="W72" s="3118">
        <v>1050.5999999999999</v>
      </c>
    </row>
    <row r="73" spans="1:23" ht="13.15" customHeight="1" x14ac:dyDescent="0.35">
      <c r="A73" s="3094"/>
      <c r="B73" s="3095"/>
      <c r="C73" s="3096"/>
      <c r="D73" s="996" t="s">
        <v>691</v>
      </c>
      <c r="E73" s="997"/>
      <c r="F73" s="997"/>
      <c r="G73" s="997"/>
      <c r="H73" s="997"/>
      <c r="I73" s="997"/>
      <c r="J73" s="998"/>
      <c r="K73" s="3119"/>
      <c r="L73" s="3120"/>
      <c r="M73" s="3130"/>
      <c r="N73" s="3133"/>
      <c r="O73" s="3133"/>
      <c r="P73" s="3136"/>
      <c r="Q73" s="3133"/>
      <c r="R73" s="3247"/>
      <c r="S73" s="3248"/>
      <c r="T73" s="3247"/>
      <c r="U73" s="3248"/>
      <c r="V73" s="3120"/>
      <c r="W73" s="3120"/>
    </row>
    <row r="74" spans="1:23" ht="13.15" customHeight="1" x14ac:dyDescent="0.35">
      <c r="A74" s="3094"/>
      <c r="B74" s="3095"/>
      <c r="C74" s="3096"/>
      <c r="D74" s="996" t="s">
        <v>692</v>
      </c>
      <c r="E74" s="997"/>
      <c r="F74" s="997"/>
      <c r="G74" s="997"/>
      <c r="H74" s="997"/>
      <c r="I74" s="997"/>
      <c r="J74" s="998"/>
      <c r="K74" s="3119"/>
      <c r="L74" s="3120"/>
      <c r="M74" s="3130"/>
      <c r="N74" s="3133"/>
      <c r="O74" s="3133"/>
      <c r="P74" s="3136"/>
      <c r="Q74" s="3133"/>
      <c r="R74" s="3247"/>
      <c r="S74" s="3248"/>
      <c r="T74" s="3247"/>
      <c r="U74" s="3248"/>
      <c r="V74" s="3120"/>
      <c r="W74" s="3120"/>
    </row>
    <row r="75" spans="1:23" ht="12.75" customHeight="1" thickBot="1" x14ac:dyDescent="0.4">
      <c r="A75" s="3018"/>
      <c r="B75" s="3019"/>
      <c r="C75" s="3020"/>
      <c r="D75" s="985" t="s">
        <v>693</v>
      </c>
      <c r="E75" s="986"/>
      <c r="F75" s="986"/>
      <c r="G75" s="986"/>
      <c r="H75" s="986"/>
      <c r="I75" s="986"/>
      <c r="J75" s="987"/>
      <c r="K75" s="3121"/>
      <c r="L75" s="3122"/>
      <c r="M75" s="3131"/>
      <c r="N75" s="3134"/>
      <c r="O75" s="3134"/>
      <c r="P75" s="3137"/>
      <c r="Q75" s="3134"/>
      <c r="R75" s="3249"/>
      <c r="S75" s="3250"/>
      <c r="T75" s="3249"/>
      <c r="U75" s="3250"/>
      <c r="V75" s="3122"/>
      <c r="W75" s="3122"/>
    </row>
    <row r="76" spans="1:23" ht="15" x14ac:dyDescent="0.3">
      <c r="A76" s="3063" t="s">
        <v>694</v>
      </c>
      <c r="B76" s="3064"/>
      <c r="C76" s="3065"/>
      <c r="D76" s="976" t="s">
        <v>887</v>
      </c>
      <c r="E76" s="977"/>
      <c r="F76" s="977"/>
      <c r="G76" s="977"/>
      <c r="H76" s="977"/>
      <c r="I76" s="977"/>
      <c r="J76" s="978"/>
      <c r="K76" s="3104">
        <f>K78+K81</f>
        <v>25</v>
      </c>
      <c r="L76" s="3105"/>
      <c r="M76" s="3041">
        <v>97</v>
      </c>
      <c r="N76" s="3041"/>
      <c r="O76" s="3041"/>
      <c r="P76" s="3041">
        <f>P78+P81</f>
        <v>125</v>
      </c>
      <c r="Q76" s="3110">
        <v>435.29176000000001</v>
      </c>
      <c r="R76" s="3138">
        <f>R78+R81</f>
        <v>10.6</v>
      </c>
      <c r="S76" s="3139"/>
      <c r="T76" s="3138">
        <f>T78+T81</f>
        <v>11.1</v>
      </c>
      <c r="U76" s="3139"/>
      <c r="V76" s="3105">
        <f>V81</f>
        <v>26.5</v>
      </c>
      <c r="W76" s="3105">
        <f>W81</f>
        <v>28.1</v>
      </c>
    </row>
    <row r="77" spans="1:23" thickBot="1" x14ac:dyDescent="0.35">
      <c r="A77" s="3066"/>
      <c r="B77" s="3067"/>
      <c r="C77" s="3068"/>
      <c r="D77" s="979" t="s">
        <v>695</v>
      </c>
      <c r="E77" s="980"/>
      <c r="F77" s="980"/>
      <c r="G77" s="980"/>
      <c r="H77" s="980"/>
      <c r="I77" s="980"/>
      <c r="J77" s="981"/>
      <c r="K77" s="3108"/>
      <c r="L77" s="3109"/>
      <c r="M77" s="3041"/>
      <c r="N77" s="3041"/>
      <c r="O77" s="3041"/>
      <c r="P77" s="3041"/>
      <c r="Q77" s="3110"/>
      <c r="R77" s="3140"/>
      <c r="S77" s="3141"/>
      <c r="T77" s="3140"/>
      <c r="U77" s="3141"/>
      <c r="V77" s="3109"/>
      <c r="W77" s="3109"/>
    </row>
    <row r="78" spans="1:23" ht="15" hidden="1" customHeight="1" x14ac:dyDescent="0.35">
      <c r="A78" s="3015" t="s">
        <v>696</v>
      </c>
      <c r="B78" s="3016"/>
      <c r="C78" s="3017"/>
      <c r="D78" s="982" t="s">
        <v>697</v>
      </c>
      <c r="E78" s="983"/>
      <c r="F78" s="983"/>
      <c r="G78" s="983"/>
      <c r="H78" s="983"/>
      <c r="I78" s="983"/>
      <c r="J78" s="984"/>
      <c r="K78" s="3117"/>
      <c r="L78" s="3145"/>
      <c r="M78" s="3041">
        <v>69</v>
      </c>
      <c r="N78" s="3041">
        <v>7</v>
      </c>
      <c r="O78" s="3041">
        <v>7</v>
      </c>
      <c r="P78" s="3041">
        <f>M78+N78+O78</f>
        <v>83</v>
      </c>
      <c r="Q78" s="3041">
        <v>0.5</v>
      </c>
      <c r="R78" s="3123"/>
      <c r="S78" s="3150"/>
      <c r="T78" s="3123"/>
      <c r="U78" s="3150"/>
      <c r="V78" s="3145"/>
      <c r="W78" s="3145"/>
    </row>
    <row r="79" spans="1:23" ht="15" hidden="1" customHeight="1" x14ac:dyDescent="0.35">
      <c r="A79" s="3094"/>
      <c r="B79" s="3095"/>
      <c r="C79" s="3096"/>
      <c r="D79" s="996" t="s">
        <v>698</v>
      </c>
      <c r="E79" s="997"/>
      <c r="F79" s="997"/>
      <c r="G79" s="997"/>
      <c r="H79" s="997"/>
      <c r="I79" s="997"/>
      <c r="J79" s="998"/>
      <c r="K79" s="3146"/>
      <c r="L79" s="3147"/>
      <c r="M79" s="3041"/>
      <c r="N79" s="3041"/>
      <c r="O79" s="3041"/>
      <c r="P79" s="3041"/>
      <c r="Q79" s="3041"/>
      <c r="R79" s="3151"/>
      <c r="S79" s="3152"/>
      <c r="T79" s="3151"/>
      <c r="U79" s="3152"/>
      <c r="V79" s="3147"/>
      <c r="W79" s="3147"/>
    </row>
    <row r="80" spans="1:23" ht="7.15" hidden="1" customHeight="1" x14ac:dyDescent="0.35">
      <c r="A80" s="3142"/>
      <c r="B80" s="3143"/>
      <c r="C80" s="3144"/>
      <c r="D80" s="1003"/>
      <c r="E80" s="1004"/>
      <c r="F80" s="1004"/>
      <c r="G80" s="1004"/>
      <c r="H80" s="1004"/>
      <c r="I80" s="1004"/>
      <c r="J80" s="1005"/>
      <c r="K80" s="3148"/>
      <c r="L80" s="3149"/>
      <c r="M80" s="3041"/>
      <c r="N80" s="3041"/>
      <c r="O80" s="3041"/>
      <c r="P80" s="3041"/>
      <c r="Q80" s="3041"/>
      <c r="R80" s="3153"/>
      <c r="S80" s="3154"/>
      <c r="T80" s="3153"/>
      <c r="U80" s="3154"/>
      <c r="V80" s="3149"/>
      <c r="W80" s="3149"/>
    </row>
    <row r="81" spans="1:23" ht="16" thickBot="1" x14ac:dyDescent="0.4">
      <c r="A81" s="3162" t="s">
        <v>699</v>
      </c>
      <c r="B81" s="3163"/>
      <c r="C81" s="3164"/>
      <c r="D81" s="996" t="s">
        <v>700</v>
      </c>
      <c r="E81" s="997"/>
      <c r="F81" s="997"/>
      <c r="G81" s="997"/>
      <c r="H81" s="997"/>
      <c r="I81" s="997"/>
      <c r="J81" s="998"/>
      <c r="K81" s="3165">
        <v>25</v>
      </c>
      <c r="L81" s="3166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167">
        <v>10.6</v>
      </c>
      <c r="S81" s="3168"/>
      <c r="T81" s="3167">
        <v>11.1</v>
      </c>
      <c r="U81" s="3168"/>
      <c r="V81" s="1543">
        <v>26.5</v>
      </c>
      <c r="W81" s="1543">
        <v>28.1</v>
      </c>
    </row>
    <row r="82" spans="1:23" ht="15" x14ac:dyDescent="0.3">
      <c r="A82" s="3063" t="s">
        <v>701</v>
      </c>
      <c r="B82" s="3064"/>
      <c r="C82" s="3065"/>
      <c r="D82" s="976" t="s">
        <v>702</v>
      </c>
      <c r="E82" s="977"/>
      <c r="F82" s="977"/>
      <c r="G82" s="977"/>
      <c r="H82" s="977"/>
      <c r="I82" s="977"/>
      <c r="J82" s="978"/>
      <c r="K82" s="3104">
        <f>K85+K90+K84</f>
        <v>754.5</v>
      </c>
      <c r="L82" s="3105"/>
      <c r="M82" s="3041">
        <v>530</v>
      </c>
      <c r="N82" s="3041"/>
      <c r="O82" s="3041"/>
      <c r="P82" s="3041">
        <f>P84+P85+P90</f>
        <v>590</v>
      </c>
      <c r="Q82" s="3110">
        <v>375.10428000000002</v>
      </c>
      <c r="R82" s="3138">
        <f>R85+R90+R84</f>
        <v>1540</v>
      </c>
      <c r="S82" s="3139"/>
      <c r="T82" s="3138">
        <f>T85+T90+T84</f>
        <v>755</v>
      </c>
      <c r="U82" s="3139"/>
      <c r="V82" s="3105">
        <f>V85</f>
        <v>0</v>
      </c>
      <c r="W82" s="3105">
        <f>W85</f>
        <v>0</v>
      </c>
    </row>
    <row r="83" spans="1:23" thickBot="1" x14ac:dyDescent="0.35">
      <c r="A83" s="3066"/>
      <c r="B83" s="3067"/>
      <c r="C83" s="3068"/>
      <c r="D83" s="979" t="s">
        <v>703</v>
      </c>
      <c r="E83" s="980"/>
      <c r="F83" s="980"/>
      <c r="G83" s="980"/>
      <c r="H83" s="980"/>
      <c r="I83" s="980"/>
      <c r="J83" s="981"/>
      <c r="K83" s="3108"/>
      <c r="L83" s="3109"/>
      <c r="M83" s="3135"/>
      <c r="N83" s="3135"/>
      <c r="O83" s="3135"/>
      <c r="P83" s="3135"/>
      <c r="Q83" s="3244"/>
      <c r="R83" s="3140"/>
      <c r="S83" s="3141"/>
      <c r="T83" s="3140"/>
      <c r="U83" s="3141"/>
      <c r="V83" s="3109"/>
      <c r="W83" s="3109"/>
    </row>
    <row r="84" spans="1:23" ht="15.65" hidden="1" customHeight="1" x14ac:dyDescent="0.35">
      <c r="A84" s="3155" t="s">
        <v>704</v>
      </c>
      <c r="B84" s="3156"/>
      <c r="C84" s="3157"/>
      <c r="D84" s="1006" t="s">
        <v>705</v>
      </c>
      <c r="E84" s="1007"/>
      <c r="F84" s="1007"/>
      <c r="G84" s="1007"/>
      <c r="H84" s="1007"/>
      <c r="I84" s="1007"/>
      <c r="J84" s="1008"/>
      <c r="K84" s="3158"/>
      <c r="L84" s="3159"/>
      <c r="M84" s="883"/>
      <c r="N84" s="884"/>
      <c r="O84" s="884"/>
      <c r="P84" s="884"/>
      <c r="Q84" s="885">
        <v>62.085000000000001</v>
      </c>
      <c r="R84" s="3160"/>
      <c r="S84" s="3161"/>
      <c r="T84" s="3160"/>
      <c r="U84" s="3161"/>
      <c r="V84" s="1041"/>
      <c r="W84" s="1041"/>
    </row>
    <row r="85" spans="1:23" x14ac:dyDescent="0.35">
      <c r="A85" s="3172" t="s">
        <v>706</v>
      </c>
      <c r="B85" s="3173"/>
      <c r="C85" s="3174"/>
      <c r="D85" s="996" t="s">
        <v>707</v>
      </c>
      <c r="E85" s="997"/>
      <c r="F85" s="997"/>
      <c r="G85" s="997"/>
      <c r="H85" s="997"/>
      <c r="I85" s="997"/>
      <c r="J85" s="998"/>
      <c r="K85" s="3175">
        <v>754.5</v>
      </c>
      <c r="L85" s="3176"/>
      <c r="M85" s="3137">
        <v>190</v>
      </c>
      <c r="N85" s="3137">
        <v>30</v>
      </c>
      <c r="O85" s="3137">
        <v>30</v>
      </c>
      <c r="P85" s="3137">
        <f>M85+N85+O85</f>
        <v>250</v>
      </c>
      <c r="Q85" s="3171">
        <v>243.4375</v>
      </c>
      <c r="R85" s="3125">
        <v>1540</v>
      </c>
      <c r="S85" s="3126"/>
      <c r="T85" s="3125">
        <v>755</v>
      </c>
      <c r="U85" s="3126"/>
      <c r="V85" s="3176">
        <v>0</v>
      </c>
      <c r="W85" s="3176">
        <v>0</v>
      </c>
    </row>
    <row r="86" spans="1:23" x14ac:dyDescent="0.35">
      <c r="A86" s="3094"/>
      <c r="B86" s="3095"/>
      <c r="C86" s="3096"/>
      <c r="D86" s="996" t="s">
        <v>708</v>
      </c>
      <c r="E86" s="997"/>
      <c r="F86" s="997"/>
      <c r="G86" s="997"/>
      <c r="H86" s="997"/>
      <c r="I86" s="997"/>
      <c r="J86" s="998"/>
      <c r="K86" s="3119"/>
      <c r="L86" s="3120"/>
      <c r="M86" s="3041"/>
      <c r="N86" s="3041"/>
      <c r="O86" s="3041"/>
      <c r="P86" s="3041"/>
      <c r="Q86" s="3110"/>
      <c r="R86" s="3125"/>
      <c r="S86" s="3126"/>
      <c r="T86" s="3125"/>
      <c r="U86" s="3126"/>
      <c r="V86" s="3120"/>
      <c r="W86" s="3120"/>
    </row>
    <row r="87" spans="1:23" x14ac:dyDescent="0.35">
      <c r="A87" s="3094"/>
      <c r="B87" s="3095"/>
      <c r="C87" s="3096"/>
      <c r="D87" s="996" t="s">
        <v>709</v>
      </c>
      <c r="E87" s="997"/>
      <c r="F87" s="997"/>
      <c r="G87" s="997"/>
      <c r="H87" s="997"/>
      <c r="I87" s="997"/>
      <c r="J87" s="998"/>
      <c r="K87" s="3119"/>
      <c r="L87" s="3120"/>
      <c r="M87" s="3041"/>
      <c r="N87" s="3041"/>
      <c r="O87" s="3041"/>
      <c r="P87" s="3041"/>
      <c r="Q87" s="3110"/>
      <c r="R87" s="3125"/>
      <c r="S87" s="3126"/>
      <c r="T87" s="3125"/>
      <c r="U87" s="3126"/>
      <c r="V87" s="3120"/>
      <c r="W87" s="3120"/>
    </row>
    <row r="88" spans="1:23" x14ac:dyDescent="0.35">
      <c r="A88" s="3094"/>
      <c r="B88" s="3095"/>
      <c r="C88" s="3096"/>
      <c r="D88" s="996" t="s">
        <v>710</v>
      </c>
      <c r="E88" s="997"/>
      <c r="F88" s="997"/>
      <c r="G88" s="997"/>
      <c r="H88" s="997"/>
      <c r="I88" s="997"/>
      <c r="J88" s="998"/>
      <c r="K88" s="3119"/>
      <c r="L88" s="3120"/>
      <c r="M88" s="3041"/>
      <c r="N88" s="3041"/>
      <c r="O88" s="3041"/>
      <c r="P88" s="3041"/>
      <c r="Q88" s="3110"/>
      <c r="R88" s="3125"/>
      <c r="S88" s="3126"/>
      <c r="T88" s="3125"/>
      <c r="U88" s="3126"/>
      <c r="V88" s="3120"/>
      <c r="W88" s="3120"/>
    </row>
    <row r="89" spans="1:23" ht="16" thickBot="1" x14ac:dyDescent="0.4">
      <c r="A89" s="3018"/>
      <c r="B89" s="3019"/>
      <c r="C89" s="3020"/>
      <c r="D89" s="985" t="s">
        <v>711</v>
      </c>
      <c r="E89" s="986"/>
      <c r="F89" s="986"/>
      <c r="G89" s="986"/>
      <c r="H89" s="986"/>
      <c r="I89" s="986"/>
      <c r="J89" s="987"/>
      <c r="K89" s="3121"/>
      <c r="L89" s="3122"/>
      <c r="M89" s="3041"/>
      <c r="N89" s="3041"/>
      <c r="O89" s="3041"/>
      <c r="P89" s="3041"/>
      <c r="Q89" s="3110"/>
      <c r="R89" s="3127"/>
      <c r="S89" s="3128"/>
      <c r="T89" s="3127"/>
      <c r="U89" s="3128"/>
      <c r="V89" s="3122"/>
      <c r="W89" s="3122"/>
    </row>
    <row r="90" spans="1:23" ht="15.65" hidden="1" customHeight="1" thickBot="1" x14ac:dyDescent="0.4">
      <c r="A90" s="3015" t="s">
        <v>712</v>
      </c>
      <c r="B90" s="3016"/>
      <c r="C90" s="3017"/>
      <c r="D90" s="996" t="s">
        <v>713</v>
      </c>
      <c r="E90" s="997"/>
      <c r="F90" s="997"/>
      <c r="G90" s="997"/>
      <c r="H90" s="997"/>
      <c r="I90" s="997"/>
      <c r="J90" s="998"/>
      <c r="K90" s="3117"/>
      <c r="L90" s="3118"/>
      <c r="M90" s="3041">
        <v>340</v>
      </c>
      <c r="N90" s="3041"/>
      <c r="O90" s="3041"/>
      <c r="P90" s="3041">
        <f>M90+N90+O90</f>
        <v>340</v>
      </c>
      <c r="Q90" s="3110">
        <v>69.581779999999995</v>
      </c>
      <c r="R90" s="3123"/>
      <c r="S90" s="3124"/>
      <c r="T90" s="3123"/>
      <c r="U90" s="3124"/>
      <c r="V90" s="3118"/>
      <c r="W90" s="3118"/>
    </row>
    <row r="91" spans="1:23" ht="15.65" hidden="1" customHeight="1" thickBot="1" x14ac:dyDescent="0.4">
      <c r="A91" s="3094"/>
      <c r="B91" s="3095"/>
      <c r="C91" s="3096"/>
      <c r="D91" s="996" t="s">
        <v>714</v>
      </c>
      <c r="E91" s="997"/>
      <c r="F91" s="997"/>
      <c r="G91" s="997"/>
      <c r="H91" s="997"/>
      <c r="I91" s="997"/>
      <c r="J91" s="998"/>
      <c r="K91" s="3119"/>
      <c r="L91" s="3120"/>
      <c r="M91" s="3041"/>
      <c r="N91" s="3041"/>
      <c r="O91" s="3041"/>
      <c r="P91" s="3041"/>
      <c r="Q91" s="3110"/>
      <c r="R91" s="3125"/>
      <c r="S91" s="3126"/>
      <c r="T91" s="3125"/>
      <c r="U91" s="3126"/>
      <c r="V91" s="3120"/>
      <c r="W91" s="3120"/>
    </row>
    <row r="92" spans="1:23" ht="15.65" hidden="1" customHeight="1" thickBot="1" x14ac:dyDescent="0.4">
      <c r="A92" s="3094"/>
      <c r="B92" s="3095"/>
      <c r="C92" s="3096"/>
      <c r="D92" s="996" t="s">
        <v>715</v>
      </c>
      <c r="E92" s="997"/>
      <c r="F92" s="997"/>
      <c r="G92" s="997"/>
      <c r="H92" s="997"/>
      <c r="I92" s="997"/>
      <c r="J92" s="998"/>
      <c r="K92" s="3119"/>
      <c r="L92" s="3120"/>
      <c r="M92" s="3041"/>
      <c r="N92" s="3041"/>
      <c r="O92" s="3041"/>
      <c r="P92" s="3041"/>
      <c r="Q92" s="3110"/>
      <c r="R92" s="3125"/>
      <c r="S92" s="3126"/>
      <c r="T92" s="3125"/>
      <c r="U92" s="3126"/>
      <c r="V92" s="3120"/>
      <c r="W92" s="3120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21"/>
      <c r="L93" s="3122"/>
      <c r="M93" s="880"/>
      <c r="N93" s="880"/>
      <c r="O93" s="880"/>
      <c r="P93" s="880"/>
      <c r="Q93" s="886"/>
      <c r="R93" s="3125"/>
      <c r="S93" s="3126"/>
      <c r="T93" s="3125"/>
      <c r="U93" s="3126"/>
      <c r="V93" s="3122"/>
      <c r="W93" s="3122"/>
    </row>
    <row r="94" spans="1:23" ht="15.75" customHeight="1" x14ac:dyDescent="0.35">
      <c r="A94" s="3063" t="s">
        <v>716</v>
      </c>
      <c r="B94" s="3064"/>
      <c r="C94" s="3065"/>
      <c r="D94" s="3084" t="s">
        <v>717</v>
      </c>
      <c r="E94" s="3085"/>
      <c r="F94" s="3085"/>
      <c r="G94" s="3085"/>
      <c r="H94" s="3085"/>
      <c r="I94" s="3085"/>
      <c r="J94" s="3086"/>
      <c r="K94" s="3104">
        <f>K96</f>
        <v>20</v>
      </c>
      <c r="L94" s="3105"/>
      <c r="M94" s="880"/>
      <c r="N94" s="880"/>
      <c r="O94" s="880"/>
      <c r="P94" s="880"/>
      <c r="Q94" s="886"/>
      <c r="R94" s="3138">
        <f>R96</f>
        <v>10</v>
      </c>
      <c r="S94" s="3139"/>
      <c r="T94" s="3138">
        <f>T96</f>
        <v>11</v>
      </c>
      <c r="U94" s="3139"/>
      <c r="V94" s="3105">
        <f>V96</f>
        <v>20</v>
      </c>
      <c r="W94" s="3105">
        <f>W96</f>
        <v>20</v>
      </c>
    </row>
    <row r="95" spans="1:23" ht="15.75" customHeight="1" thickBot="1" x14ac:dyDescent="0.4">
      <c r="A95" s="3066"/>
      <c r="B95" s="3067"/>
      <c r="C95" s="3068"/>
      <c r="D95" s="3087"/>
      <c r="E95" s="3088"/>
      <c r="F95" s="3088"/>
      <c r="G95" s="3088"/>
      <c r="H95" s="3088"/>
      <c r="I95" s="3088"/>
      <c r="J95" s="3089"/>
      <c r="K95" s="3108"/>
      <c r="L95" s="3109"/>
      <c r="M95" s="880"/>
      <c r="N95" s="880"/>
      <c r="O95" s="880"/>
      <c r="P95" s="880"/>
      <c r="Q95" s="886"/>
      <c r="R95" s="3169"/>
      <c r="S95" s="3170"/>
      <c r="T95" s="3169"/>
      <c r="U95" s="3170"/>
      <c r="V95" s="3109"/>
      <c r="W95" s="3109"/>
    </row>
    <row r="96" spans="1:23" ht="15.75" customHeight="1" x14ac:dyDescent="0.35">
      <c r="A96" s="3015" t="s">
        <v>718</v>
      </c>
      <c r="B96" s="3016"/>
      <c r="C96" s="3017"/>
      <c r="D96" s="3177" t="s">
        <v>719</v>
      </c>
      <c r="E96" s="3178"/>
      <c r="F96" s="3178"/>
      <c r="G96" s="3178"/>
      <c r="H96" s="3178"/>
      <c r="I96" s="3178"/>
      <c r="J96" s="3179"/>
      <c r="K96" s="3117">
        <v>20</v>
      </c>
      <c r="L96" s="3118"/>
      <c r="M96" s="880"/>
      <c r="N96" s="880"/>
      <c r="O96" s="880"/>
      <c r="P96" s="880"/>
      <c r="Q96" s="886"/>
      <c r="R96" s="3123">
        <v>10</v>
      </c>
      <c r="S96" s="3124"/>
      <c r="T96" s="3123">
        <v>11</v>
      </c>
      <c r="U96" s="3124"/>
      <c r="V96" s="3118">
        <v>20</v>
      </c>
      <c r="W96" s="3118">
        <v>20</v>
      </c>
    </row>
    <row r="97" spans="1:26" ht="27" customHeight="1" thickBot="1" x14ac:dyDescent="0.4">
      <c r="A97" s="3018"/>
      <c r="B97" s="3019"/>
      <c r="C97" s="3020"/>
      <c r="D97" s="3180"/>
      <c r="E97" s="3181"/>
      <c r="F97" s="3181"/>
      <c r="G97" s="3181"/>
      <c r="H97" s="3181"/>
      <c r="I97" s="3181"/>
      <c r="J97" s="3182"/>
      <c r="K97" s="3121"/>
      <c r="L97" s="3122"/>
      <c r="M97" s="880"/>
      <c r="N97" s="880"/>
      <c r="O97" s="880"/>
      <c r="P97" s="880"/>
      <c r="Q97" s="886"/>
      <c r="R97" s="3183"/>
      <c r="S97" s="3184"/>
      <c r="T97" s="3183"/>
      <c r="U97" s="3184"/>
      <c r="V97" s="3122"/>
      <c r="W97" s="3122"/>
    </row>
    <row r="98" spans="1:26" ht="15" x14ac:dyDescent="0.3">
      <c r="A98" s="3025" t="s">
        <v>720</v>
      </c>
      <c r="B98" s="3026"/>
      <c r="C98" s="3027"/>
      <c r="D98" s="976"/>
      <c r="E98" s="977"/>
      <c r="F98" s="977"/>
      <c r="G98" s="977"/>
      <c r="H98" s="977"/>
      <c r="I98" s="977"/>
      <c r="J98" s="978"/>
      <c r="K98" s="3104">
        <f>K100</f>
        <v>25</v>
      </c>
      <c r="L98" s="3105"/>
      <c r="M98" s="3041">
        <v>90</v>
      </c>
      <c r="N98" s="3041"/>
      <c r="O98" s="3041"/>
      <c r="P98" s="3041">
        <f>P100</f>
        <v>150</v>
      </c>
      <c r="Q98" s="3110">
        <v>129.83756</v>
      </c>
      <c r="R98" s="3138">
        <f>R100</f>
        <v>21</v>
      </c>
      <c r="S98" s="3139"/>
      <c r="T98" s="3138">
        <f>T100</f>
        <v>22</v>
      </c>
      <c r="U98" s="3139"/>
      <c r="V98" s="3105">
        <f>V100</f>
        <v>26.5</v>
      </c>
      <c r="W98" s="3105">
        <f>W100</f>
        <v>28.1</v>
      </c>
    </row>
    <row r="99" spans="1:26" thickBot="1" x14ac:dyDescent="0.35">
      <c r="A99" s="3028"/>
      <c r="B99" s="3029"/>
      <c r="C99" s="3030"/>
      <c r="D99" s="1009" t="s">
        <v>721</v>
      </c>
      <c r="E99" s="1010"/>
      <c r="F99" s="1010"/>
      <c r="G99" s="1010"/>
      <c r="H99" s="1010"/>
      <c r="I99" s="1010"/>
      <c r="J99" s="1011"/>
      <c r="K99" s="3108"/>
      <c r="L99" s="3109"/>
      <c r="M99" s="3041"/>
      <c r="N99" s="3041"/>
      <c r="O99" s="3041"/>
      <c r="P99" s="3041"/>
      <c r="Q99" s="3110"/>
      <c r="R99" s="3169"/>
      <c r="S99" s="3170"/>
      <c r="T99" s="3169"/>
      <c r="U99" s="3170"/>
      <c r="V99" s="3109"/>
      <c r="W99" s="3109"/>
    </row>
    <row r="100" spans="1:26" ht="15" customHeight="1" x14ac:dyDescent="0.3">
      <c r="A100" s="3012" t="s">
        <v>722</v>
      </c>
      <c r="B100" s="3013"/>
      <c r="C100" s="3014"/>
      <c r="D100" s="976"/>
      <c r="E100" s="977"/>
      <c r="F100" s="977"/>
      <c r="G100" s="977"/>
      <c r="H100" s="977"/>
      <c r="I100" s="977"/>
      <c r="J100" s="978"/>
      <c r="K100" s="3117">
        <v>25</v>
      </c>
      <c r="L100" s="3118"/>
      <c r="M100" s="3041">
        <v>90</v>
      </c>
      <c r="N100" s="3041">
        <v>30</v>
      </c>
      <c r="O100" s="3041">
        <v>30</v>
      </c>
      <c r="P100" s="3041">
        <f>M100+N100+O100</f>
        <v>150</v>
      </c>
      <c r="Q100" s="3110">
        <v>117.42055999999999</v>
      </c>
      <c r="R100" s="3123">
        <v>21</v>
      </c>
      <c r="S100" s="3124"/>
      <c r="T100" s="3123">
        <v>22</v>
      </c>
      <c r="U100" s="3124"/>
      <c r="V100" s="3118">
        <v>26.5</v>
      </c>
      <c r="W100" s="3118">
        <v>28.1</v>
      </c>
    </row>
    <row r="101" spans="1:26" ht="16" thickBot="1" x14ac:dyDescent="0.4">
      <c r="A101" s="3006"/>
      <c r="B101" s="2999"/>
      <c r="C101" s="3007"/>
      <c r="D101" s="1003" t="s">
        <v>723</v>
      </c>
      <c r="E101" s="1010"/>
      <c r="F101" s="1010"/>
      <c r="G101" s="1010"/>
      <c r="H101" s="1010"/>
      <c r="I101" s="1010"/>
      <c r="J101" s="1011"/>
      <c r="K101" s="3121"/>
      <c r="L101" s="3122"/>
      <c r="M101" s="3041"/>
      <c r="N101" s="3041"/>
      <c r="O101" s="3041"/>
      <c r="P101" s="3041"/>
      <c r="Q101" s="3110"/>
      <c r="R101" s="3183"/>
      <c r="S101" s="3184"/>
      <c r="T101" s="3183"/>
      <c r="U101" s="3184"/>
      <c r="V101" s="3122"/>
      <c r="W101" s="3122"/>
    </row>
    <row r="102" spans="1:26" ht="15" x14ac:dyDescent="0.3">
      <c r="A102" s="3025" t="s">
        <v>724</v>
      </c>
      <c r="B102" s="3026"/>
      <c r="C102" s="3027"/>
      <c r="D102" s="976"/>
      <c r="E102" s="977"/>
      <c r="F102" s="977"/>
      <c r="G102" s="977"/>
      <c r="H102" s="977"/>
      <c r="I102" s="977"/>
      <c r="J102" s="978"/>
      <c r="K102" s="3104">
        <f>K105+K107+K108+K111+K112+K115</f>
        <v>19035.8</v>
      </c>
      <c r="L102" s="3105"/>
      <c r="M102" s="3041">
        <v>8484.0619999999999</v>
      </c>
      <c r="N102" s="3041"/>
      <c r="O102" s="3041"/>
      <c r="P102" s="3041">
        <f>P105+P111+P112+P113+P115</f>
        <v>8524.0619999999999</v>
      </c>
      <c r="Q102" s="3110">
        <v>3580.9459499999998</v>
      </c>
      <c r="R102" s="3193">
        <f>R105+R111+R112+R113+R115+R106+S108+R114+R110+R109</f>
        <v>810.5</v>
      </c>
      <c r="S102" s="3194"/>
      <c r="T102" s="3193">
        <f>T105+T111+T112+T113+T115+T106+U108+T114+T110+T109</f>
        <v>818.5</v>
      </c>
      <c r="U102" s="3194"/>
      <c r="V102" s="3105">
        <f>V105+V107+V108+V111+V112+V115</f>
        <v>19076</v>
      </c>
      <c r="W102" s="3105">
        <f>W105+W107+W108+W111+W112+W115</f>
        <v>18639.400000000001</v>
      </c>
    </row>
    <row r="103" spans="1:26" ht="15" x14ac:dyDescent="0.3">
      <c r="A103" s="3205"/>
      <c r="B103" s="3206"/>
      <c r="C103" s="3207"/>
      <c r="D103" s="999" t="s">
        <v>725</v>
      </c>
      <c r="E103" s="1000"/>
      <c r="F103" s="1000"/>
      <c r="G103" s="1000"/>
      <c r="H103" s="1000"/>
      <c r="I103" s="1000"/>
      <c r="J103" s="1001"/>
      <c r="K103" s="3106"/>
      <c r="L103" s="3107"/>
      <c r="M103" s="3041"/>
      <c r="N103" s="3041"/>
      <c r="O103" s="3041"/>
      <c r="P103" s="3041"/>
      <c r="Q103" s="3110"/>
      <c r="R103" s="3195"/>
      <c r="S103" s="3196"/>
      <c r="T103" s="3195"/>
      <c r="U103" s="3196"/>
      <c r="V103" s="3107"/>
      <c r="W103" s="3107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08"/>
      <c r="L104" s="3109"/>
      <c r="M104" s="880"/>
      <c r="N104" s="880"/>
      <c r="O104" s="880"/>
      <c r="P104" s="880"/>
      <c r="Q104" s="886"/>
      <c r="R104" s="3197"/>
      <c r="S104" s="3198"/>
      <c r="T104" s="3197"/>
      <c r="U104" s="3198"/>
      <c r="V104" s="3109"/>
      <c r="W104" s="3109"/>
    </row>
    <row r="105" spans="1:26" ht="34.5" customHeight="1" thickBot="1" x14ac:dyDescent="0.4">
      <c r="A105" s="3185" t="s">
        <v>976</v>
      </c>
      <c r="B105" s="3186"/>
      <c r="C105" s="3187"/>
      <c r="D105" s="3188" t="s">
        <v>864</v>
      </c>
      <c r="E105" s="3199"/>
      <c r="F105" s="3199"/>
      <c r="G105" s="3199"/>
      <c r="H105" s="3199"/>
      <c r="I105" s="3199"/>
      <c r="J105" s="3200"/>
      <c r="K105" s="3201">
        <v>16236.3</v>
      </c>
      <c r="L105" s="3202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203"/>
      <c r="S105" s="3204"/>
      <c r="T105" s="3203"/>
      <c r="U105" s="3204"/>
      <c r="V105" s="1037">
        <v>16223.5</v>
      </c>
      <c r="W105" s="1037">
        <v>16517.7</v>
      </c>
    </row>
    <row r="106" spans="1:26" ht="34.5" hidden="1" customHeight="1" thickBot="1" x14ac:dyDescent="0.4">
      <c r="A106" s="3185" t="s">
        <v>727</v>
      </c>
      <c r="B106" s="3186"/>
      <c r="C106" s="3187"/>
      <c r="D106" s="3188" t="s">
        <v>728</v>
      </c>
      <c r="E106" s="3199"/>
      <c r="F106" s="3199"/>
      <c r="G106" s="3199"/>
      <c r="H106" s="3199"/>
      <c r="I106" s="3199"/>
      <c r="J106" s="3200"/>
      <c r="K106" s="3208"/>
      <c r="L106" s="3209"/>
      <c r="M106" s="880"/>
      <c r="N106" s="880"/>
      <c r="O106" s="880"/>
      <c r="P106" s="880"/>
      <c r="Q106" s="886"/>
      <c r="R106" s="3242"/>
      <c r="S106" s="3243"/>
      <c r="T106" s="3242"/>
      <c r="U106" s="3243"/>
      <c r="V106" s="1040"/>
      <c r="W106" s="1040"/>
    </row>
    <row r="107" spans="1:26" ht="61.5" customHeight="1" thickBot="1" x14ac:dyDescent="0.4">
      <c r="A107" s="3210" t="s">
        <v>975</v>
      </c>
      <c r="B107" s="3211"/>
      <c r="C107" s="3212"/>
      <c r="D107" s="3188" t="s">
        <v>888</v>
      </c>
      <c r="E107" s="3189"/>
      <c r="F107" s="3189"/>
      <c r="G107" s="3189"/>
      <c r="H107" s="3189"/>
      <c r="I107" s="3189"/>
      <c r="J107" s="3190"/>
      <c r="K107" s="3240">
        <v>388.9</v>
      </c>
      <c r="L107" s="3241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3185" t="s">
        <v>974</v>
      </c>
      <c r="B108" s="3186"/>
      <c r="C108" s="3187"/>
      <c r="D108" s="3188" t="s">
        <v>890</v>
      </c>
      <c r="E108" s="3189"/>
      <c r="F108" s="3189"/>
      <c r="G108" s="3189"/>
      <c r="H108" s="3189"/>
      <c r="I108" s="3189"/>
      <c r="J108" s="3190"/>
      <c r="K108" s="3191">
        <v>976.8</v>
      </c>
      <c r="L108" s="3192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3185" t="s">
        <v>731</v>
      </c>
      <c r="B109" s="3186"/>
      <c r="C109" s="3187"/>
      <c r="D109" s="3213" t="s">
        <v>732</v>
      </c>
      <c r="E109" s="3214"/>
      <c r="F109" s="3214"/>
      <c r="G109" s="3214"/>
      <c r="H109" s="3214"/>
      <c r="I109" s="3214"/>
      <c r="J109" s="3215"/>
      <c r="K109" s="3216"/>
      <c r="L109" s="3217"/>
      <c r="M109" s="880"/>
      <c r="N109" s="880"/>
      <c r="O109" s="880"/>
      <c r="P109" s="880"/>
      <c r="Q109" s="886"/>
      <c r="R109" s="3218"/>
      <c r="S109" s="3219"/>
      <c r="T109" s="3218"/>
      <c r="U109" s="3219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3185" t="s">
        <v>733</v>
      </c>
      <c r="B110" s="3186"/>
      <c r="C110" s="3187"/>
      <c r="D110" s="3220" t="s">
        <v>734</v>
      </c>
      <c r="E110" s="3221"/>
      <c r="F110" s="3221"/>
      <c r="G110" s="3221"/>
      <c r="H110" s="3221"/>
      <c r="I110" s="3221"/>
      <c r="J110" s="3222"/>
      <c r="K110" s="3216"/>
      <c r="L110" s="3217"/>
      <c r="M110" s="880"/>
      <c r="N110" s="880"/>
      <c r="O110" s="880"/>
      <c r="P110" s="880"/>
      <c r="Q110" s="886"/>
      <c r="R110" s="3218"/>
      <c r="S110" s="3219"/>
      <c r="T110" s="3218"/>
      <c r="U110" s="3219"/>
      <c r="V110" s="1038"/>
      <c r="W110" s="1700"/>
      <c r="X110" s="1702"/>
      <c r="Y110" s="1702"/>
      <c r="Z110" s="1702"/>
    </row>
    <row r="111" spans="1:26" ht="36.75" customHeight="1" thickBot="1" x14ac:dyDescent="0.4">
      <c r="A111" s="3185" t="s">
        <v>973</v>
      </c>
      <c r="B111" s="3186"/>
      <c r="C111" s="3187"/>
      <c r="D111" s="3188" t="s">
        <v>736</v>
      </c>
      <c r="E111" s="3199"/>
      <c r="F111" s="3199"/>
      <c r="G111" s="3199"/>
      <c r="H111" s="3199"/>
      <c r="I111" s="3199"/>
      <c r="J111" s="3200"/>
      <c r="K111" s="3223">
        <v>727.8</v>
      </c>
      <c r="L111" s="3224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225"/>
      <c r="S111" s="3226"/>
      <c r="T111" s="3225"/>
      <c r="U111" s="3226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3185" t="s">
        <v>972</v>
      </c>
      <c r="B112" s="3186"/>
      <c r="C112" s="3187"/>
      <c r="D112" s="3188" t="s">
        <v>889</v>
      </c>
      <c r="E112" s="3199"/>
      <c r="F112" s="3199"/>
      <c r="G112" s="3199"/>
      <c r="H112" s="3199"/>
      <c r="I112" s="3199"/>
      <c r="J112" s="3200"/>
      <c r="K112" s="3223">
        <v>656</v>
      </c>
      <c r="L112" s="3224"/>
      <c r="M112" s="1691">
        <v>10</v>
      </c>
      <c r="N112" s="1691"/>
      <c r="O112" s="1691"/>
      <c r="P112" s="1691">
        <v>10</v>
      </c>
      <c r="Q112" s="1692">
        <v>10</v>
      </c>
      <c r="R112" s="3225">
        <v>598.5</v>
      </c>
      <c r="S112" s="3226"/>
      <c r="T112" s="3225">
        <v>598.5</v>
      </c>
      <c r="U112" s="3226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3185" t="s">
        <v>738</v>
      </c>
      <c r="B113" s="3186"/>
      <c r="C113" s="3187"/>
      <c r="D113" s="3188" t="s">
        <v>739</v>
      </c>
      <c r="E113" s="3199"/>
      <c r="F113" s="3199"/>
      <c r="G113" s="3199"/>
      <c r="H113" s="3199"/>
      <c r="I113" s="3199"/>
      <c r="J113" s="3200"/>
      <c r="K113" s="3216"/>
      <c r="L113" s="3217"/>
      <c r="M113" s="880">
        <v>613</v>
      </c>
      <c r="N113" s="880"/>
      <c r="O113" s="880"/>
      <c r="P113" s="880">
        <v>613</v>
      </c>
      <c r="Q113" s="886">
        <v>613</v>
      </c>
      <c r="R113" s="3218"/>
      <c r="S113" s="3219"/>
      <c r="T113" s="3218"/>
      <c r="U113" s="3219"/>
      <c r="V113" s="1038"/>
      <c r="W113" s="1038"/>
    </row>
    <row r="114" spans="1:26" ht="58.9" hidden="1" customHeight="1" thickBot="1" x14ac:dyDescent="0.4">
      <c r="A114" s="3185" t="s">
        <v>740</v>
      </c>
      <c r="B114" s="3186"/>
      <c r="C114" s="3187"/>
      <c r="D114" s="3188" t="s">
        <v>741</v>
      </c>
      <c r="E114" s="3199"/>
      <c r="F114" s="3199"/>
      <c r="G114" s="3199"/>
      <c r="H114" s="3199"/>
      <c r="I114" s="3199"/>
      <c r="J114" s="3200"/>
      <c r="K114" s="3227"/>
      <c r="L114" s="3228"/>
      <c r="M114" s="880"/>
      <c r="N114" s="880"/>
      <c r="O114" s="880"/>
      <c r="P114" s="880"/>
      <c r="Q114" s="886"/>
      <c r="R114" s="3229"/>
      <c r="S114" s="3230"/>
      <c r="T114" s="3229"/>
      <c r="U114" s="3230"/>
      <c r="V114" s="1039"/>
      <c r="W114" s="1039"/>
    </row>
    <row r="115" spans="1:26" ht="34.5" customHeight="1" thickBot="1" x14ac:dyDescent="0.4">
      <c r="A115" s="3185" t="s">
        <v>971</v>
      </c>
      <c r="B115" s="3186"/>
      <c r="C115" s="3187"/>
      <c r="D115" s="3231" t="s">
        <v>743</v>
      </c>
      <c r="E115" s="3232"/>
      <c r="F115" s="3232"/>
      <c r="G115" s="3232"/>
      <c r="H115" s="3232"/>
      <c r="I115" s="3232"/>
      <c r="J115" s="3233"/>
      <c r="K115" s="3201">
        <v>50</v>
      </c>
      <c r="L115" s="3202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234">
        <v>212</v>
      </c>
      <c r="S115" s="3235"/>
      <c r="T115" s="3234">
        <v>220</v>
      </c>
      <c r="U115" s="3235"/>
      <c r="V115" s="1037">
        <v>75</v>
      </c>
      <c r="W115" s="1037">
        <v>100</v>
      </c>
    </row>
    <row r="116" spans="1:26" ht="12.75" customHeight="1" x14ac:dyDescent="0.35">
      <c r="A116" s="3025" t="s">
        <v>744</v>
      </c>
      <c r="B116" s="3026"/>
      <c r="C116" s="3027"/>
      <c r="D116" s="982"/>
      <c r="E116" s="983"/>
      <c r="F116" s="983"/>
      <c r="G116" s="983"/>
      <c r="H116" s="983"/>
      <c r="I116" s="983"/>
      <c r="J116" s="984"/>
      <c r="K116" s="3236">
        <f>K102+K32</f>
        <v>89056.6</v>
      </c>
      <c r="L116" s="3237"/>
      <c r="M116" s="3041">
        <v>25719.42</v>
      </c>
      <c r="N116" s="3041"/>
      <c r="O116" s="3041"/>
      <c r="P116" s="3135">
        <f>P32+P102</f>
        <v>33106.455999999998</v>
      </c>
      <c r="Q116" s="3041"/>
      <c r="R116" s="3193">
        <f>R32+R102</f>
        <v>74406.700000000012</v>
      </c>
      <c r="S116" s="3194"/>
      <c r="T116" s="3193">
        <f>T32+T102</f>
        <v>76479.200000000012</v>
      </c>
      <c r="U116" s="3194"/>
      <c r="V116" s="3105">
        <f>V102+V32</f>
        <v>90091</v>
      </c>
      <c r="W116" s="3105">
        <f>W102+W32</f>
        <v>92491.5</v>
      </c>
    </row>
    <row r="117" spans="1:26" ht="16.5" customHeight="1" thickBot="1" x14ac:dyDescent="0.4">
      <c r="A117" s="3028"/>
      <c r="B117" s="3029"/>
      <c r="C117" s="3030"/>
      <c r="D117" s="979"/>
      <c r="E117" s="980"/>
      <c r="F117" s="980"/>
      <c r="G117" s="986"/>
      <c r="H117" s="986"/>
      <c r="I117" s="986"/>
      <c r="J117" s="987"/>
      <c r="K117" s="3238"/>
      <c r="L117" s="3239"/>
      <c r="M117" s="3041"/>
      <c r="N117" s="3041"/>
      <c r="O117" s="3041"/>
      <c r="P117" s="3137"/>
      <c r="Q117" s="3041"/>
      <c r="R117" s="3197"/>
      <c r="S117" s="3198"/>
      <c r="T117" s="3197"/>
      <c r="U117" s="3198"/>
      <c r="V117" s="3109"/>
      <c r="W117" s="3109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997" t="s">
        <v>450</v>
      </c>
      <c r="M2" s="2997"/>
      <c r="N2" s="2997"/>
      <c r="O2" s="2997"/>
      <c r="P2" s="2997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3488"/>
      <c r="C12" s="3488"/>
      <c r="D12" s="3488"/>
      <c r="E12" s="3488"/>
      <c r="F12" s="3488"/>
      <c r="G12" s="3488"/>
      <c r="H12" s="3488"/>
      <c r="I12" s="3488"/>
      <c r="J12" s="348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3489" t="s">
        <v>441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3489"/>
      <c r="N13" s="3489"/>
      <c r="O13" s="3489"/>
      <c r="P13" s="3489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3489" t="s">
        <v>440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489" t="s">
        <v>439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489" t="s">
        <v>438</v>
      </c>
      <c r="B16" s="3489"/>
      <c r="C16" s="3489"/>
      <c r="D16" s="3489"/>
      <c r="E16" s="3489"/>
      <c r="F16" s="3489"/>
      <c r="G16" s="3489"/>
      <c r="H16" s="3489"/>
      <c r="I16" s="3489"/>
      <c r="J16" s="3489"/>
      <c r="K16" s="3489"/>
      <c r="L16" s="3489"/>
      <c r="M16" s="3489"/>
      <c r="N16" s="3489"/>
      <c r="O16" s="3489"/>
      <c r="P16" s="3489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3489" t="s">
        <v>898</v>
      </c>
      <c r="B17" s="3489"/>
      <c r="C17" s="3489"/>
      <c r="D17" s="3489"/>
      <c r="E17" s="3489"/>
      <c r="F17" s="3489"/>
      <c r="G17" s="3489"/>
      <c r="H17" s="3489"/>
      <c r="I17" s="3489"/>
      <c r="J17" s="3489"/>
      <c r="K17" s="3489"/>
      <c r="L17" s="3489"/>
      <c r="M17" s="3489"/>
      <c r="N17" s="3489"/>
      <c r="O17" s="3489"/>
      <c r="P17" s="3489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91" t="s">
        <v>20</v>
      </c>
      <c r="H127" s="3492"/>
      <c r="I127" s="3492"/>
      <c r="J127" s="3493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85" t="s">
        <v>17</v>
      </c>
      <c r="H128" s="3486"/>
      <c r="I128" s="3486"/>
      <c r="J128" s="3487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52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26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13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485" t="s">
        <v>20</v>
      </c>
      <c r="H445" s="3486"/>
      <c r="I445" s="3486"/>
      <c r="J445" s="3487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485" t="s">
        <v>17</v>
      </c>
      <c r="H446" s="3486"/>
      <c r="I446" s="3486"/>
      <c r="J446" s="3487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485" t="s">
        <v>20</v>
      </c>
      <c r="H471" s="3486"/>
      <c r="I471" s="3486"/>
      <c r="J471" s="3487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485" t="s">
        <v>17</v>
      </c>
      <c r="H472" s="3486"/>
      <c r="I472" s="3486"/>
      <c r="J472" s="3487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2997" t="s">
        <v>450</v>
      </c>
      <c r="M2" s="2997"/>
      <c r="N2" s="2997"/>
      <c r="O2" s="2997"/>
      <c r="P2" s="2997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3488"/>
      <c r="C12" s="3488"/>
      <c r="D12" s="3488"/>
      <c r="E12" s="3488"/>
      <c r="F12" s="3488"/>
      <c r="G12" s="3488"/>
      <c r="H12" s="3488"/>
      <c r="I12" s="3488"/>
      <c r="J12" s="348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3495" t="s">
        <v>441</v>
      </c>
      <c r="B13" s="3495"/>
      <c r="C13" s="3495"/>
      <c r="D13" s="3495"/>
      <c r="E13" s="3495"/>
      <c r="F13" s="3495"/>
      <c r="G13" s="3495"/>
      <c r="H13" s="3495"/>
      <c r="I13" s="3495"/>
      <c r="J13" s="3495"/>
      <c r="K13" s="3495"/>
      <c r="L13" s="3495"/>
      <c r="M13" s="3495"/>
      <c r="N13" s="3495"/>
      <c r="O13" s="3495"/>
      <c r="P13" s="3495"/>
    </row>
    <row r="14" spans="1:22" ht="17.5" customHeight="1" x14ac:dyDescent="0.3">
      <c r="A14" s="3495" t="s">
        <v>440</v>
      </c>
      <c r="B14" s="3495"/>
      <c r="C14" s="3495"/>
      <c r="D14" s="3495"/>
      <c r="E14" s="3495"/>
      <c r="F14" s="3495"/>
      <c r="G14" s="3495"/>
      <c r="H14" s="3495"/>
      <c r="I14" s="3495"/>
      <c r="J14" s="3495"/>
      <c r="K14" s="3495"/>
      <c r="L14" s="3495"/>
      <c r="M14" s="3495"/>
      <c r="N14" s="3495"/>
      <c r="O14" s="3495"/>
      <c r="P14" s="3495"/>
      <c r="Q14" s="890">
        <v>2408.288</v>
      </c>
      <c r="R14" s="890">
        <v>4974.3450000000003</v>
      </c>
    </row>
    <row r="15" spans="1:22" ht="15" customHeight="1" x14ac:dyDescent="0.3">
      <c r="A15" s="3495" t="s">
        <v>439</v>
      </c>
      <c r="B15" s="3495"/>
      <c r="C15" s="3495"/>
      <c r="D15" s="3495"/>
      <c r="E15" s="3495"/>
      <c r="F15" s="3495"/>
      <c r="G15" s="3495"/>
      <c r="H15" s="3495"/>
      <c r="I15" s="3495"/>
      <c r="J15" s="3495"/>
      <c r="K15" s="3495"/>
      <c r="L15" s="3495"/>
      <c r="M15" s="3495"/>
      <c r="N15" s="3495"/>
      <c r="O15" s="3495"/>
      <c r="P15" s="3495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495" t="s">
        <v>438</v>
      </c>
      <c r="B16" s="3495"/>
      <c r="C16" s="3495"/>
      <c r="D16" s="3495"/>
      <c r="E16" s="3495"/>
      <c r="F16" s="3495"/>
      <c r="G16" s="3495"/>
      <c r="H16" s="3495"/>
      <c r="I16" s="3495"/>
      <c r="J16" s="3495"/>
      <c r="K16" s="3495"/>
      <c r="L16" s="3495"/>
      <c r="M16" s="3495"/>
      <c r="N16" s="3495"/>
      <c r="O16" s="3495"/>
      <c r="P16" s="3495"/>
    </row>
    <row r="17" spans="1:24" ht="16.149999999999999" customHeight="1" x14ac:dyDescent="0.3">
      <c r="A17" s="3495" t="s">
        <v>898</v>
      </c>
      <c r="B17" s="3495"/>
      <c r="C17" s="3495"/>
      <c r="D17" s="3495"/>
      <c r="E17" s="3495"/>
      <c r="F17" s="3495"/>
      <c r="G17" s="3495"/>
      <c r="H17" s="3495"/>
      <c r="I17" s="3495"/>
      <c r="J17" s="3495"/>
      <c r="K17" s="3495"/>
      <c r="L17" s="3495"/>
      <c r="M17" s="3495"/>
      <c r="N17" s="3495"/>
      <c r="O17" s="3495"/>
      <c r="P17" s="3495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91" t="s">
        <v>20</v>
      </c>
      <c r="H127" s="3492"/>
      <c r="I127" s="3492"/>
      <c r="J127" s="3493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85" t="s">
        <v>17</v>
      </c>
      <c r="H128" s="3486"/>
      <c r="I128" s="3486"/>
      <c r="J128" s="3487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5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5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5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9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485" t="s">
        <v>20</v>
      </c>
      <c r="H434" s="3486"/>
      <c r="I434" s="3486"/>
      <c r="J434" s="3487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485" t="s">
        <v>17</v>
      </c>
      <c r="H435" s="3486"/>
      <c r="I435" s="3486"/>
      <c r="J435" s="3487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485" t="s">
        <v>20</v>
      </c>
      <c r="H460" s="3486"/>
      <c r="I460" s="3486"/>
      <c r="J460" s="3487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485" t="s">
        <v>17</v>
      </c>
      <c r="H461" s="3486"/>
      <c r="I461" s="3486"/>
      <c r="J461" s="3487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3496"/>
      <c r="C12" s="3496"/>
      <c r="D12" s="3496"/>
      <c r="E12" s="3496"/>
      <c r="F12" s="3496"/>
      <c r="G12" s="3496"/>
      <c r="H12" s="3496"/>
      <c r="I12" s="395" t="e">
        <f>I10-I11-#REF!</f>
        <v>#REF!</v>
      </c>
      <c r="N12" s="1"/>
      <c r="U12" s="1"/>
    </row>
    <row r="13" spans="1:21" ht="15.65" customHeight="1" x14ac:dyDescent="0.25">
      <c r="A13" s="3497" t="s">
        <v>614</v>
      </c>
      <c r="B13" s="3497"/>
      <c r="C13" s="3497"/>
      <c r="D13" s="3497"/>
      <c r="E13" s="3497"/>
      <c r="F13" s="3497"/>
      <c r="G13" s="3497"/>
      <c r="H13" s="3497"/>
      <c r="I13" s="3497"/>
      <c r="J13" s="3497"/>
      <c r="K13" s="3497"/>
      <c r="L13" s="3497"/>
      <c r="M13" s="3497"/>
      <c r="N13" s="3497"/>
      <c r="O13" s="3497"/>
      <c r="P13" s="3497"/>
      <c r="Q13" s="3497"/>
      <c r="R13" s="3497"/>
      <c r="S13" s="3497"/>
      <c r="T13" s="3497"/>
      <c r="U13" s="3497"/>
    </row>
    <row r="14" spans="1:21" ht="15.65" customHeight="1" x14ac:dyDescent="0.25">
      <c r="A14" s="3497" t="s">
        <v>613</v>
      </c>
      <c r="B14" s="3497"/>
      <c r="C14" s="3497"/>
      <c r="D14" s="3497"/>
      <c r="E14" s="3497"/>
      <c r="F14" s="3497"/>
      <c r="G14" s="3497"/>
      <c r="H14" s="3497"/>
      <c r="I14" s="3497"/>
      <c r="J14" s="3497"/>
      <c r="K14" s="3497"/>
      <c r="L14" s="3497"/>
      <c r="M14" s="3497"/>
      <c r="N14" s="3497"/>
      <c r="O14" s="3497"/>
      <c r="P14" s="3497"/>
      <c r="Q14" s="3497"/>
      <c r="R14" s="3497"/>
      <c r="S14" s="3497"/>
      <c r="T14" s="3497"/>
      <c r="U14" s="3497"/>
    </row>
    <row r="15" spans="1:21" ht="15" customHeight="1" x14ac:dyDescent="0.25">
      <c r="A15" s="3497" t="s">
        <v>968</v>
      </c>
      <c r="B15" s="3497"/>
      <c r="C15" s="3497"/>
      <c r="D15" s="3497"/>
      <c r="E15" s="3497"/>
      <c r="F15" s="3497"/>
      <c r="G15" s="3497"/>
      <c r="H15" s="3497"/>
      <c r="I15" s="3497"/>
      <c r="J15" s="3497"/>
      <c r="K15" s="3497"/>
      <c r="L15" s="3497"/>
      <c r="M15" s="3497"/>
      <c r="N15" s="3497"/>
      <c r="O15" s="3497"/>
      <c r="P15" s="3497"/>
      <c r="Q15" s="3497"/>
      <c r="R15" s="3497"/>
      <c r="S15" s="3497"/>
      <c r="T15" s="3497"/>
      <c r="U15" s="3497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31.5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3496"/>
      <c r="C12" s="3496"/>
      <c r="D12" s="3496"/>
      <c r="E12" s="3496"/>
      <c r="F12" s="3496"/>
      <c r="G12" s="3496"/>
      <c r="H12" s="3496"/>
      <c r="I12" s="395" t="e">
        <f>I10-I11-#REF!</f>
        <v>#REF!</v>
      </c>
      <c r="N12" s="1"/>
    </row>
    <row r="13" spans="1:18" ht="15.65" customHeight="1" x14ac:dyDescent="0.25">
      <c r="A13" s="3497" t="s">
        <v>614</v>
      </c>
      <c r="B13" s="3497"/>
      <c r="C13" s="3497"/>
      <c r="D13" s="3497"/>
      <c r="E13" s="3497"/>
      <c r="F13" s="3497"/>
      <c r="G13" s="3497"/>
      <c r="H13" s="3497"/>
      <c r="I13" s="1"/>
      <c r="N13" s="1"/>
    </row>
    <row r="14" spans="1:18" ht="15.65" customHeight="1" x14ac:dyDescent="0.25">
      <c r="A14" s="3497" t="s">
        <v>613</v>
      </c>
      <c r="B14" s="3497"/>
      <c r="C14" s="3497"/>
      <c r="D14" s="3497"/>
      <c r="E14" s="3497"/>
      <c r="F14" s="3497"/>
      <c r="G14" s="3497"/>
      <c r="H14" s="3497"/>
      <c r="I14" s="1"/>
      <c r="N14" s="1"/>
    </row>
    <row r="15" spans="1:18" ht="15" customHeight="1" x14ac:dyDescent="0.25">
      <c r="A15" s="3497" t="s">
        <v>901</v>
      </c>
      <c r="B15" s="3497"/>
      <c r="C15" s="3497"/>
      <c r="D15" s="3497"/>
      <c r="E15" s="3497"/>
      <c r="F15" s="3497"/>
      <c r="G15" s="3497"/>
      <c r="H15" s="3497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2997" t="s">
        <v>449</v>
      </c>
      <c r="E3" s="2997"/>
      <c r="F3" s="2997"/>
      <c r="G3" s="2997"/>
      <c r="H3" s="2997"/>
      <c r="I3" s="2997"/>
      <c r="J3" s="2997"/>
      <c r="K3" s="2997"/>
      <c r="L3" s="2997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3488"/>
      <c r="C12" s="3488"/>
      <c r="D12" s="3488"/>
      <c r="E12" s="3488"/>
      <c r="F12" s="3488"/>
      <c r="G12" s="3488"/>
      <c r="H12" s="3488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3497" t="s">
        <v>614</v>
      </c>
      <c r="B13" s="3497"/>
      <c r="C13" s="3497"/>
      <c r="D13" s="3497"/>
      <c r="E13" s="3497"/>
      <c r="F13" s="3497"/>
      <c r="G13" s="3497"/>
      <c r="H13" s="3497"/>
      <c r="I13" s="3497"/>
      <c r="J13" s="3497"/>
      <c r="K13" s="3497"/>
      <c r="L13" s="3497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3497" t="s">
        <v>613</v>
      </c>
      <c r="B14" s="3497"/>
      <c r="C14" s="3497"/>
      <c r="D14" s="3497"/>
      <c r="E14" s="3497"/>
      <c r="F14" s="3497"/>
      <c r="G14" s="3497"/>
      <c r="H14" s="3497"/>
      <c r="I14" s="3497"/>
      <c r="J14" s="3497"/>
      <c r="K14" s="3497"/>
      <c r="L14" s="3497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3497" t="s">
        <v>903</v>
      </c>
      <c r="B15" s="3497"/>
      <c r="C15" s="3497"/>
      <c r="D15" s="3497"/>
      <c r="E15" s="3497"/>
      <c r="F15" s="3497"/>
      <c r="G15" s="3497"/>
      <c r="H15" s="3497"/>
      <c r="I15" s="3497"/>
      <c r="J15" s="3497"/>
      <c r="K15" s="3497"/>
      <c r="L15" s="3497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14.5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14.5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2997" t="s">
        <v>449</v>
      </c>
      <c r="E3" s="2997"/>
      <c r="F3" s="2997"/>
      <c r="G3" s="2997"/>
      <c r="H3" s="2997"/>
      <c r="I3" s="2997"/>
      <c r="J3" s="2997"/>
      <c r="K3" s="2997"/>
      <c r="L3" s="2997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3488"/>
      <c r="C12" s="3488"/>
      <c r="D12" s="3488"/>
      <c r="E12" s="3488"/>
      <c r="F12" s="3488"/>
      <c r="G12" s="3488"/>
      <c r="H12" s="3488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3497" t="s">
        <v>614</v>
      </c>
      <c r="B13" s="3497"/>
      <c r="C13" s="3497"/>
      <c r="D13" s="3497"/>
      <c r="E13" s="3497"/>
      <c r="F13" s="3497"/>
      <c r="G13" s="3497"/>
      <c r="H13" s="3497"/>
      <c r="I13" s="3497"/>
      <c r="J13" s="3497"/>
      <c r="K13" s="3497"/>
      <c r="L13" s="3497"/>
    </row>
    <row r="14" spans="1:22" ht="15.65" customHeight="1" x14ac:dyDescent="0.25">
      <c r="A14" s="3497" t="s">
        <v>613</v>
      </c>
      <c r="B14" s="3497"/>
      <c r="C14" s="3497"/>
      <c r="D14" s="3497"/>
      <c r="E14" s="3497"/>
      <c r="F14" s="3497"/>
      <c r="G14" s="3497"/>
      <c r="H14" s="3497"/>
      <c r="I14" s="3497"/>
      <c r="J14" s="3497"/>
      <c r="K14" s="3497"/>
      <c r="L14" s="3497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497" t="s">
        <v>903</v>
      </c>
      <c r="B15" s="3497"/>
      <c r="C15" s="3497"/>
      <c r="D15" s="3497"/>
      <c r="E15" s="3497"/>
      <c r="F15" s="3497"/>
      <c r="G15" s="3497"/>
      <c r="H15" s="3497"/>
      <c r="I15" s="3497"/>
      <c r="J15" s="3497"/>
      <c r="K15" s="3497"/>
      <c r="L15" s="3497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328" t="s">
        <v>991</v>
      </c>
      <c r="I5" s="3328"/>
      <c r="J5" s="3328"/>
      <c r="K5" s="3328"/>
      <c r="L5" s="3328"/>
      <c r="M5" s="3328"/>
      <c r="N5" s="3328"/>
      <c r="O5" s="3328"/>
      <c r="P5" s="3328"/>
      <c r="Q5" s="3328"/>
      <c r="R5" s="3328"/>
      <c r="S5" s="3328"/>
      <c r="T5" s="3328"/>
      <c r="U5" s="3328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496"/>
      <c r="C12" s="3496"/>
      <c r="D12" s="3496"/>
      <c r="E12" s="3496"/>
      <c r="F12" s="3496"/>
      <c r="G12" s="3496"/>
      <c r="H12" s="3496"/>
      <c r="I12" s="1830" t="e">
        <f>I10-I11-#REF!</f>
        <v>#REF!</v>
      </c>
      <c r="N12" s="237"/>
      <c r="U12" s="237"/>
    </row>
    <row r="13" spans="1:27" ht="15.65" customHeight="1" x14ac:dyDescent="0.25">
      <c r="A13" s="3497" t="s">
        <v>614</v>
      </c>
      <c r="B13" s="3497"/>
      <c r="C13" s="3497"/>
      <c r="D13" s="3497"/>
      <c r="E13" s="3497"/>
      <c r="F13" s="3497"/>
      <c r="G13" s="3497"/>
      <c r="H13" s="3497"/>
      <c r="I13" s="3497"/>
      <c r="J13" s="3497"/>
      <c r="K13" s="3497"/>
      <c r="L13" s="3497"/>
      <c r="M13" s="3497"/>
      <c r="N13" s="3497"/>
      <c r="O13" s="3497"/>
      <c r="P13" s="3497"/>
      <c r="Q13" s="3497"/>
      <c r="R13" s="3497"/>
      <c r="S13" s="3497"/>
      <c r="T13" s="3497"/>
      <c r="U13" s="3497"/>
      <c r="AA13" s="1831"/>
    </row>
    <row r="14" spans="1:27" ht="15.65" customHeight="1" x14ac:dyDescent="0.25">
      <c r="A14" s="3497" t="s">
        <v>613</v>
      </c>
      <c r="B14" s="3497"/>
      <c r="C14" s="3497"/>
      <c r="D14" s="3497"/>
      <c r="E14" s="3497"/>
      <c r="F14" s="3497"/>
      <c r="G14" s="3497"/>
      <c r="H14" s="3497"/>
      <c r="I14" s="3497"/>
      <c r="J14" s="3497"/>
      <c r="K14" s="3497"/>
      <c r="L14" s="3497"/>
      <c r="M14" s="3497"/>
      <c r="N14" s="3497"/>
      <c r="O14" s="3497"/>
      <c r="P14" s="3497"/>
      <c r="Q14" s="3497"/>
      <c r="R14" s="3497"/>
      <c r="S14" s="3497"/>
      <c r="T14" s="3497"/>
      <c r="U14" s="3497"/>
      <c r="AA14" s="1832"/>
    </row>
    <row r="15" spans="1:27" ht="15" customHeight="1" x14ac:dyDescent="0.25">
      <c r="A15" s="3497" t="s">
        <v>968</v>
      </c>
      <c r="B15" s="3497"/>
      <c r="C15" s="3497"/>
      <c r="D15" s="3497"/>
      <c r="E15" s="3497"/>
      <c r="F15" s="3497"/>
      <c r="G15" s="3497"/>
      <c r="H15" s="3497"/>
      <c r="I15" s="3497"/>
      <c r="J15" s="3497"/>
      <c r="K15" s="3497"/>
      <c r="L15" s="3497"/>
      <c r="M15" s="3497"/>
      <c r="N15" s="3497"/>
      <c r="O15" s="3497"/>
      <c r="P15" s="3497"/>
      <c r="Q15" s="3497"/>
      <c r="R15" s="3497"/>
      <c r="S15" s="3497"/>
      <c r="T15" s="3497"/>
      <c r="U15" s="3497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2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3001" t="s">
        <v>991</v>
      </c>
      <c r="I5" s="3001"/>
      <c r="J5" s="3001"/>
      <c r="K5" s="3001"/>
      <c r="L5" s="3001"/>
      <c r="M5" s="3001"/>
      <c r="N5" s="3001"/>
      <c r="O5" s="3001"/>
      <c r="P5" s="3001"/>
      <c r="Q5" s="3001"/>
      <c r="R5" s="3001"/>
      <c r="S5" s="3001"/>
      <c r="T5" s="3001"/>
      <c r="U5" s="3001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496"/>
      <c r="C12" s="3496"/>
      <c r="D12" s="3496"/>
      <c r="E12" s="3496"/>
      <c r="F12" s="3496"/>
      <c r="G12" s="3496"/>
      <c r="H12" s="3496"/>
      <c r="I12" s="395" t="e">
        <f>I10-I11-#REF!</f>
        <v>#REF!</v>
      </c>
      <c r="N12" s="1"/>
      <c r="U12" s="1"/>
    </row>
    <row r="13" spans="1:22" ht="15.65" customHeight="1" x14ac:dyDescent="0.25">
      <c r="A13" s="3497" t="s">
        <v>614</v>
      </c>
      <c r="B13" s="3497"/>
      <c r="C13" s="3497"/>
      <c r="D13" s="3497"/>
      <c r="E13" s="3497"/>
      <c r="F13" s="3497"/>
      <c r="G13" s="3497"/>
      <c r="H13" s="3497"/>
      <c r="I13" s="3497"/>
      <c r="J13" s="3497"/>
      <c r="K13" s="3497"/>
      <c r="L13" s="3497"/>
      <c r="M13" s="3497"/>
      <c r="N13" s="3497"/>
      <c r="O13" s="3497"/>
      <c r="P13" s="3497"/>
      <c r="Q13" s="3497"/>
      <c r="R13" s="3497"/>
      <c r="S13" s="3497"/>
      <c r="T13" s="3497"/>
      <c r="U13" s="3497"/>
    </row>
    <row r="14" spans="1:22" ht="15.65" customHeight="1" x14ac:dyDescent="0.25">
      <c r="A14" s="3497" t="s">
        <v>613</v>
      </c>
      <c r="B14" s="3497"/>
      <c r="C14" s="3497"/>
      <c r="D14" s="3497"/>
      <c r="E14" s="3497"/>
      <c r="F14" s="3497"/>
      <c r="G14" s="3497"/>
      <c r="H14" s="3497"/>
      <c r="I14" s="3497"/>
      <c r="J14" s="3497"/>
      <c r="K14" s="3497"/>
      <c r="L14" s="3497"/>
      <c r="M14" s="3497"/>
      <c r="N14" s="3497"/>
      <c r="O14" s="3497"/>
      <c r="P14" s="3497"/>
      <c r="Q14" s="3497"/>
      <c r="R14" s="3497"/>
      <c r="S14" s="3497"/>
      <c r="T14" s="3497"/>
      <c r="U14" s="3497"/>
    </row>
    <row r="15" spans="1:22" ht="15" customHeight="1" x14ac:dyDescent="0.25">
      <c r="A15" s="3497" t="s">
        <v>995</v>
      </c>
      <c r="B15" s="3497"/>
      <c r="C15" s="3497"/>
      <c r="D15" s="3497"/>
      <c r="E15" s="3497"/>
      <c r="F15" s="3497"/>
      <c r="G15" s="3497"/>
      <c r="H15" s="3497"/>
      <c r="I15" s="3497"/>
      <c r="J15" s="3497"/>
      <c r="K15" s="3497"/>
      <c r="L15" s="3497"/>
      <c r="M15" s="3497"/>
      <c r="N15" s="3497"/>
      <c r="O15" s="3497"/>
      <c r="P15" s="3497"/>
      <c r="Q15" s="3497"/>
      <c r="R15" s="3497"/>
      <c r="S15" s="3497"/>
      <c r="T15" s="3497"/>
      <c r="U15" s="3497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90"/>
  <sheetViews>
    <sheetView zoomScaleNormal="100" zoomScaleSheetLayoutView="86" workbookViewId="0">
      <selection activeCell="B115" sqref="B11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249" customWidth="1"/>
    <col min="9" max="9" width="18.7265625" style="2249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2249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2249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30" width="19.7265625" style="1" customWidth="1"/>
    <col min="31" max="16384" width="9.1796875" style="1"/>
  </cols>
  <sheetData>
    <row r="1" spans="5:22" ht="13" customHeight="1" x14ac:dyDescent="0.35">
      <c r="H1" s="3315" t="s">
        <v>792</v>
      </c>
      <c r="I1" s="3315"/>
      <c r="J1" s="3315"/>
      <c r="K1" s="3315"/>
      <c r="L1" s="3315"/>
      <c r="M1" s="3315"/>
      <c r="N1" s="3315"/>
      <c r="O1" s="3315"/>
      <c r="P1" s="3315"/>
      <c r="Q1" s="3315"/>
      <c r="R1" s="3315"/>
      <c r="S1" s="3315"/>
      <c r="T1" s="3315"/>
      <c r="U1" s="3315"/>
    </row>
    <row r="2" spans="5:22" ht="15.65" customHeight="1" x14ac:dyDescent="0.35">
      <c r="H2" s="3315" t="s">
        <v>450</v>
      </c>
      <c r="I2" s="3315"/>
      <c r="J2" s="3315"/>
      <c r="K2" s="3315"/>
      <c r="L2" s="3315"/>
      <c r="M2" s="3315"/>
      <c r="N2" s="3315"/>
      <c r="O2" s="3315"/>
      <c r="P2" s="3315"/>
      <c r="Q2" s="3315"/>
      <c r="R2" s="3315"/>
      <c r="S2" s="3315"/>
      <c r="T2" s="3315"/>
      <c r="U2" s="3315"/>
    </row>
    <row r="3" spans="5:22" ht="16" customHeight="1" x14ac:dyDescent="0.35">
      <c r="H3" s="3315" t="s">
        <v>449</v>
      </c>
      <c r="I3" s="3315"/>
      <c r="J3" s="3315"/>
      <c r="K3" s="3315"/>
      <c r="L3" s="3315"/>
      <c r="M3" s="3315"/>
      <c r="N3" s="3315"/>
      <c r="O3" s="3315"/>
      <c r="P3" s="3315"/>
      <c r="Q3" s="3315"/>
      <c r="R3" s="3315"/>
      <c r="S3" s="3315"/>
      <c r="T3" s="3315"/>
      <c r="U3" s="3315"/>
    </row>
    <row r="4" spans="5:22" ht="14.5" customHeight="1" x14ac:dyDescent="0.35">
      <c r="H4" s="3315" t="s">
        <v>448</v>
      </c>
      <c r="I4" s="3315"/>
      <c r="J4" s="3315"/>
      <c r="K4" s="3315"/>
      <c r="L4" s="3315"/>
      <c r="M4" s="3315"/>
      <c r="N4" s="3315"/>
      <c r="O4" s="3315"/>
      <c r="P4" s="3315"/>
      <c r="Q4" s="3315"/>
      <c r="R4" s="3315"/>
      <c r="S4" s="3315"/>
      <c r="T4" s="3315"/>
      <c r="U4" s="3315"/>
    </row>
    <row r="5" spans="5:22" ht="16" customHeight="1" x14ac:dyDescent="0.25">
      <c r="H5" s="3328" t="str">
        <f>'прил2 дох 2021-2023'!$K$16</f>
        <v xml:space="preserve">    от  " 22 " сентября  2021 года № 221 </v>
      </c>
      <c r="I5" s="3328"/>
      <c r="J5" s="3328"/>
      <c r="K5" s="3328"/>
      <c r="L5" s="3328"/>
      <c r="M5" s="3328"/>
      <c r="N5" s="3328"/>
      <c r="O5" s="3328"/>
      <c r="P5" s="3328"/>
      <c r="Q5" s="3328"/>
      <c r="R5" s="3328"/>
      <c r="S5" s="3328"/>
      <c r="T5" s="3328"/>
      <c r="U5" s="3328"/>
    </row>
    <row r="6" spans="5:22" ht="14.5" customHeight="1" x14ac:dyDescent="0.25"/>
    <row r="7" spans="5:22" ht="15.5" x14ac:dyDescent="0.3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5" x14ac:dyDescent="0.3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5" x14ac:dyDescent="0.3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5" x14ac:dyDescent="0.3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5" x14ac:dyDescent="0.25">
      <c r="E11" s="388"/>
      <c r="F11" s="388"/>
      <c r="G11" s="388"/>
      <c r="H11" s="3328" t="s">
        <v>1223</v>
      </c>
      <c r="I11" s="3328"/>
      <c r="J11" s="3328"/>
      <c r="K11" s="3328"/>
      <c r="L11" s="3328"/>
      <c r="M11" s="3328"/>
      <c r="N11" s="3328"/>
      <c r="O11" s="3328"/>
      <c r="P11" s="3328"/>
      <c r="Q11" s="3328"/>
      <c r="R11" s="3328"/>
      <c r="S11" s="3328"/>
      <c r="T11" s="3328"/>
      <c r="U11" s="3328"/>
      <c r="V11" s="1824"/>
    </row>
    <row r="12" spans="5:22" ht="15.5" hidden="1" x14ac:dyDescent="0.35">
      <c r="I12" s="413"/>
      <c r="J12" s="413"/>
      <c r="K12" s="413"/>
      <c r="L12" s="413"/>
      <c r="M12" s="2249"/>
      <c r="O12" s="410"/>
      <c r="P12" s="410"/>
      <c r="Q12" s="410"/>
      <c r="R12" s="410"/>
    </row>
    <row r="13" spans="5:22" ht="15.5" hidden="1" x14ac:dyDescent="0.35">
      <c r="E13" s="254"/>
      <c r="F13" s="254"/>
      <c r="G13" s="254"/>
      <c r="H13" s="2851" t="s">
        <v>446</v>
      </c>
      <c r="I13" s="413"/>
      <c r="J13" s="415"/>
      <c r="K13" s="415"/>
      <c r="L13" s="415"/>
      <c r="M13" s="2851"/>
      <c r="N13" s="2851" t="s">
        <v>446</v>
      </c>
      <c r="O13" s="410"/>
      <c r="P13" s="410"/>
      <c r="Q13" s="410"/>
      <c r="R13" s="410"/>
      <c r="U13" s="2851" t="s">
        <v>446</v>
      </c>
    </row>
    <row r="14" spans="5:22" ht="15.5" hidden="1" x14ac:dyDescent="0.3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5" hidden="1" x14ac:dyDescent="0.35">
      <c r="E15" s="254"/>
      <c r="F15" s="254"/>
      <c r="G15" s="254"/>
      <c r="H15" s="2851" t="s">
        <v>848</v>
      </c>
      <c r="I15" s="413"/>
      <c r="J15" s="415"/>
      <c r="K15" s="415"/>
      <c r="L15" s="415"/>
      <c r="M15" s="2851"/>
      <c r="N15" s="2851" t="s">
        <v>848</v>
      </c>
      <c r="O15" s="410"/>
      <c r="P15" s="410"/>
      <c r="Q15" s="410"/>
      <c r="R15" s="410"/>
      <c r="U15" s="2851" t="s">
        <v>848</v>
      </c>
    </row>
    <row r="16" spans="5:22" ht="15.5" hidden="1" x14ac:dyDescent="0.35">
      <c r="H16" s="393"/>
      <c r="I16" s="1828">
        <v>73707.5</v>
      </c>
      <c r="J16" s="413"/>
      <c r="K16" s="413"/>
      <c r="L16" s="413"/>
      <c r="M16" s="2249"/>
      <c r="N16" s="393"/>
      <c r="O16" s="410"/>
      <c r="P16" s="410"/>
      <c r="Q16" s="410"/>
      <c r="U16" s="393"/>
    </row>
    <row r="17" spans="1:30" ht="13" hidden="1" x14ac:dyDescent="0.3">
      <c r="G17" s="392"/>
      <c r="H17" s="393"/>
      <c r="I17" s="1829">
        <v>3685.4</v>
      </c>
      <c r="N17" s="393"/>
      <c r="U17" s="393"/>
    </row>
    <row r="18" spans="1:30" ht="15.5" hidden="1" x14ac:dyDescent="0.3">
      <c r="B18" s="3496"/>
      <c r="C18" s="3496"/>
      <c r="D18" s="3496"/>
      <c r="E18" s="3496"/>
      <c r="F18" s="3496"/>
      <c r="G18" s="3496"/>
      <c r="H18" s="3496"/>
      <c r="I18" s="1830" t="e">
        <f>I16-I17-#REF!</f>
        <v>#REF!</v>
      </c>
      <c r="N18" s="237"/>
      <c r="U18" s="237"/>
    </row>
    <row r="19" spans="1:30" ht="15.65" customHeight="1" x14ac:dyDescent="0.25">
      <c r="A19" s="3497" t="s">
        <v>614</v>
      </c>
      <c r="B19" s="3497"/>
      <c r="C19" s="3497"/>
      <c r="D19" s="3497"/>
      <c r="E19" s="3497"/>
      <c r="F19" s="3497"/>
      <c r="G19" s="3497"/>
      <c r="H19" s="3497"/>
      <c r="I19" s="3497"/>
      <c r="J19" s="3497"/>
      <c r="K19" s="3497"/>
      <c r="L19" s="3497"/>
      <c r="M19" s="3497"/>
      <c r="N19" s="3497"/>
      <c r="O19" s="3497"/>
      <c r="P19" s="3497"/>
      <c r="Q19" s="3497"/>
      <c r="R19" s="3497"/>
      <c r="S19" s="3497"/>
      <c r="T19" s="3497"/>
      <c r="U19" s="3497"/>
      <c r="AA19" s="1831"/>
    </row>
    <row r="20" spans="1:30" ht="15.65" customHeight="1" x14ac:dyDescent="0.25">
      <c r="A20" s="3497" t="s">
        <v>613</v>
      </c>
      <c r="B20" s="3497"/>
      <c r="C20" s="3497"/>
      <c r="D20" s="3497"/>
      <c r="E20" s="3497"/>
      <c r="F20" s="3497"/>
      <c r="G20" s="3497"/>
      <c r="H20" s="3497"/>
      <c r="I20" s="3497"/>
      <c r="J20" s="3497"/>
      <c r="K20" s="3497"/>
      <c r="L20" s="3497"/>
      <c r="M20" s="3497"/>
      <c r="N20" s="3497"/>
      <c r="O20" s="3497"/>
      <c r="P20" s="3497"/>
      <c r="Q20" s="3497"/>
      <c r="R20" s="3497"/>
      <c r="S20" s="3497"/>
      <c r="T20" s="3497"/>
      <c r="U20" s="3497"/>
      <c r="AA20" s="1832">
        <f>AA22-99005.965</f>
        <v>37217.986440000008</v>
      </c>
      <c r="AB20" s="237">
        <f>AB22-99831.286</f>
        <v>12179.24500000001</v>
      </c>
    </row>
    <row r="21" spans="1:30" ht="15" customHeight="1" x14ac:dyDescent="0.25">
      <c r="A21" s="3497" t="s">
        <v>1202</v>
      </c>
      <c r="B21" s="3497"/>
      <c r="C21" s="3497"/>
      <c r="D21" s="3497"/>
      <c r="E21" s="3497"/>
      <c r="F21" s="3497"/>
      <c r="G21" s="3497"/>
      <c r="H21" s="3497"/>
      <c r="I21" s="3497"/>
      <c r="J21" s="3497"/>
      <c r="K21" s="3497"/>
      <c r="L21" s="3497"/>
      <c r="M21" s="3497"/>
      <c r="N21" s="3497"/>
      <c r="O21" s="3497"/>
      <c r="P21" s="3497"/>
      <c r="Q21" s="3497"/>
      <c r="R21" s="3497"/>
      <c r="S21" s="3497"/>
      <c r="T21" s="3497"/>
      <c r="U21" s="3497"/>
      <c r="AA21" s="1833"/>
      <c r="AC21" s="237"/>
    </row>
    <row r="22" spans="1:30" ht="16" thickBot="1" x14ac:dyDescent="0.4">
      <c r="A22" s="375"/>
      <c r="B22" s="236"/>
      <c r="C22" s="235"/>
      <c r="D22" s="234"/>
      <c r="E22" s="234"/>
      <c r="F22" s="234"/>
      <c r="G22" s="234"/>
      <c r="H22" s="1834"/>
      <c r="I22" s="2852"/>
      <c r="N22" s="1834"/>
      <c r="U22" s="1834" t="s">
        <v>829</v>
      </c>
      <c r="AA22" s="237">
        <f>N24+AA24</f>
        <v>136223.95144</v>
      </c>
      <c r="AB22" s="237">
        <f>U24+AB24</f>
        <v>112010.531</v>
      </c>
    </row>
    <row r="23" spans="1:30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904</v>
      </c>
      <c r="I23" s="846" t="s">
        <v>604</v>
      </c>
      <c r="J23" s="368" t="s">
        <v>603</v>
      </c>
      <c r="K23" s="1855"/>
      <c r="L23" s="1855"/>
      <c r="M23" s="1855"/>
      <c r="N23" s="1162" t="s">
        <v>996</v>
      </c>
      <c r="O23" s="1855"/>
      <c r="P23" s="1855"/>
      <c r="Q23" s="1855"/>
      <c r="R23" s="1855"/>
      <c r="S23" s="1855"/>
      <c r="T23" s="1855"/>
      <c r="U23" s="1673" t="s">
        <v>1203</v>
      </c>
    </row>
    <row r="24" spans="1:30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2689">
        <f>H26+H552+H580</f>
        <v>127454.38307000001</v>
      </c>
      <c r="I24" s="2690">
        <f>I25+I59+I531</f>
        <v>41834.239999999998</v>
      </c>
      <c r="J24" s="2691">
        <f>J25+J59+J531</f>
        <v>39496.512999999999</v>
      </c>
      <c r="K24" s="2692">
        <f>K27+K141+K173+K193+K232+K239+K253+K273+K275+K286+K326+K424+K444+K471+K489+K519</f>
        <v>32490.631000000001</v>
      </c>
      <c r="L24" s="2692">
        <v>95708.6</v>
      </c>
      <c r="M24" s="2692">
        <f>H24-L24</f>
        <v>31745.783070000005</v>
      </c>
      <c r="N24" s="2693">
        <f>N26+N552</f>
        <v>133697.11244</v>
      </c>
      <c r="O24" s="2692"/>
      <c r="P24" s="2692"/>
      <c r="Q24" s="2692"/>
      <c r="R24" s="2692"/>
      <c r="S24" s="2692"/>
      <c r="T24" s="2692"/>
      <c r="U24" s="2689">
        <f>U26+U552</f>
        <v>106949.63</v>
      </c>
      <c r="AA24" s="1">
        <v>2526.8389999999999</v>
      </c>
      <c r="AB24" s="1">
        <v>5060.9009999999998</v>
      </c>
      <c r="AC24" s="237"/>
      <c r="AD24" s="237"/>
    </row>
    <row r="25" spans="1:30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2694">
        <f>H27</f>
        <v>28386.432679999998</v>
      </c>
      <c r="I25" s="2695">
        <f>I27</f>
        <v>0</v>
      </c>
      <c r="J25" s="2696">
        <f>J27</f>
        <v>0</v>
      </c>
      <c r="K25" s="2692"/>
      <c r="L25" s="2692"/>
      <c r="M25" s="2692"/>
      <c r="N25" s="2697">
        <f>N27</f>
        <v>22308.172999999999</v>
      </c>
      <c r="O25" s="2692"/>
      <c r="P25" s="2692"/>
      <c r="Q25" s="2692"/>
      <c r="R25" s="2692"/>
      <c r="S25" s="2692"/>
      <c r="T25" s="2692"/>
      <c r="U25" s="2694">
        <f>U27</f>
        <v>26219.221000000001</v>
      </c>
    </row>
    <row r="26" spans="1:30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2694">
        <f>H27+H129+H139+H177+H250+H421+H442+H470+H489+H519</f>
        <v>123988.99907000001</v>
      </c>
      <c r="I26" s="2695">
        <f>I27+I107+I140+I221+I325+I338+I427+I456+I97</f>
        <v>17641.879999999997</v>
      </c>
      <c r="J26" s="2698">
        <f>J27+J107+J140+J221+J325+J338+J427+J456+J97</f>
        <v>13887.225999999999</v>
      </c>
      <c r="K26" s="2692"/>
      <c r="L26" s="2692"/>
      <c r="M26" s="2692"/>
      <c r="N26" s="2697">
        <f>N27+N129+N139+N177+N250+N421+N442+N470+N489+N519</f>
        <v>130312.83443999999</v>
      </c>
      <c r="O26" s="2692"/>
      <c r="P26" s="2692"/>
      <c r="Q26" s="2692"/>
      <c r="R26" s="2692"/>
      <c r="S26" s="2692"/>
      <c r="T26" s="2692"/>
      <c r="U26" s="2694">
        <f>U27+U129+U139+U177+U250+U421+U442+U470+U489+U519</f>
        <v>102888.69600000001</v>
      </c>
      <c r="AA26" s="1836"/>
    </row>
    <row r="27" spans="1:30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2699">
        <f>H61+H86+H100+H107+H93</f>
        <v>28386.432679999998</v>
      </c>
      <c r="I27" s="2700">
        <f>I28+I40+I53</f>
        <v>0</v>
      </c>
      <c r="J27" s="2701">
        <f>J28+J40+J53</f>
        <v>0</v>
      </c>
      <c r="K27" s="2702">
        <f>K39+K45+K46+K47+K67+K69+K71+K74+K77+K85+K92+K106+K110+K113+K115+K118</f>
        <v>18000.908000000003</v>
      </c>
      <c r="L27" s="2692"/>
      <c r="M27" s="2692"/>
      <c r="N27" s="2703">
        <f>N34+N40+N61+N86+N100+N107</f>
        <v>22308.172999999999</v>
      </c>
      <c r="O27" s="2692"/>
      <c r="P27" s="2692"/>
      <c r="Q27" s="2692"/>
      <c r="R27" s="2692"/>
      <c r="S27" s="2692"/>
      <c r="T27" s="2692"/>
      <c r="U27" s="2699">
        <f>U34+U40+U61+U86+U100+U107</f>
        <v>26219.221000000001</v>
      </c>
    </row>
    <row r="28" spans="1:30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2704"/>
      <c r="I28" s="2705">
        <f t="shared" ref="I28:J32" si="0">I29</f>
        <v>0</v>
      </c>
      <c r="J28" s="2706">
        <f t="shared" si="0"/>
        <v>0</v>
      </c>
      <c r="K28" s="2692"/>
      <c r="L28" s="2692"/>
      <c r="M28" s="2692"/>
      <c r="N28" s="2707"/>
      <c r="O28" s="2692"/>
      <c r="P28" s="2692"/>
      <c r="Q28" s="2692"/>
      <c r="R28" s="2692"/>
      <c r="S28" s="2692"/>
      <c r="T28" s="2692"/>
      <c r="U28" s="2704"/>
    </row>
    <row r="29" spans="1:30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2708"/>
      <c r="I29" s="2709">
        <f t="shared" si="0"/>
        <v>0</v>
      </c>
      <c r="J29" s="2710">
        <f t="shared" si="0"/>
        <v>0</v>
      </c>
      <c r="K29" s="2692"/>
      <c r="L29" s="2692"/>
      <c r="M29" s="2692"/>
      <c r="N29" s="2711"/>
      <c r="O29" s="2692"/>
      <c r="P29" s="2692"/>
      <c r="Q29" s="2692"/>
      <c r="R29" s="2692"/>
      <c r="S29" s="2692"/>
      <c r="T29" s="2692"/>
      <c r="U29" s="2708"/>
    </row>
    <row r="30" spans="1:30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2708"/>
      <c r="I30" s="2709">
        <f t="shared" si="0"/>
        <v>0</v>
      </c>
      <c r="J30" s="2710">
        <f t="shared" si="0"/>
        <v>0</v>
      </c>
      <c r="K30" s="2692"/>
      <c r="L30" s="2692"/>
      <c r="M30" s="2692"/>
      <c r="N30" s="2711"/>
      <c r="O30" s="2692"/>
      <c r="P30" s="2692"/>
      <c r="Q30" s="2692"/>
      <c r="R30" s="2692"/>
      <c r="S30" s="2692"/>
      <c r="T30" s="2692"/>
      <c r="U30" s="2708"/>
    </row>
    <row r="31" spans="1:30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2708"/>
      <c r="I31" s="2709">
        <f t="shared" si="0"/>
        <v>0</v>
      </c>
      <c r="J31" s="2710">
        <f t="shared" si="0"/>
        <v>0</v>
      </c>
      <c r="K31" s="2692"/>
      <c r="L31" s="2692"/>
      <c r="M31" s="2692"/>
      <c r="N31" s="2711"/>
      <c r="O31" s="2692"/>
      <c r="P31" s="2692"/>
      <c r="Q31" s="2692"/>
      <c r="R31" s="2692"/>
      <c r="S31" s="2692"/>
      <c r="T31" s="2692"/>
      <c r="U31" s="2708"/>
    </row>
    <row r="32" spans="1:30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2708"/>
      <c r="I32" s="2709">
        <f t="shared" si="0"/>
        <v>0</v>
      </c>
      <c r="J32" s="2710">
        <f t="shared" si="0"/>
        <v>0</v>
      </c>
      <c r="K32" s="2692"/>
      <c r="L32" s="2692"/>
      <c r="M32" s="2692"/>
      <c r="N32" s="2711"/>
      <c r="O32" s="2692"/>
      <c r="P32" s="2692"/>
      <c r="Q32" s="2692"/>
      <c r="R32" s="2692"/>
      <c r="S32" s="2692"/>
      <c r="T32" s="2692"/>
      <c r="U32" s="2708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2708"/>
      <c r="I33" s="2709"/>
      <c r="J33" s="2710"/>
      <c r="K33" s="2692"/>
      <c r="L33" s="2692"/>
      <c r="M33" s="2692"/>
      <c r="N33" s="2711"/>
      <c r="O33" s="2692"/>
      <c r="P33" s="2692"/>
      <c r="Q33" s="2692"/>
      <c r="R33" s="2692"/>
      <c r="S33" s="2692"/>
      <c r="T33" s="2692"/>
      <c r="U33" s="2708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2704"/>
      <c r="I34" s="2709"/>
      <c r="J34" s="2710"/>
      <c r="K34" s="2692"/>
      <c r="L34" s="2692"/>
      <c r="M34" s="2692"/>
      <c r="N34" s="2707"/>
      <c r="O34" s="2692"/>
      <c r="P34" s="2692"/>
      <c r="Q34" s="2692"/>
      <c r="R34" s="2692"/>
      <c r="S34" s="2692"/>
      <c r="T34" s="2692"/>
      <c r="U34" s="2704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2708"/>
      <c r="I35" s="2709"/>
      <c r="J35" s="2710"/>
      <c r="K35" s="2692"/>
      <c r="L35" s="2692"/>
      <c r="M35" s="2692"/>
      <c r="N35" s="2711"/>
      <c r="O35" s="2692"/>
      <c r="P35" s="2692"/>
      <c r="Q35" s="2692"/>
      <c r="R35" s="2692"/>
      <c r="S35" s="2692"/>
      <c r="T35" s="2692"/>
      <c r="U35" s="2708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2708"/>
      <c r="I36" s="2709"/>
      <c r="J36" s="2710"/>
      <c r="K36" s="2692"/>
      <c r="L36" s="2692"/>
      <c r="M36" s="2692"/>
      <c r="N36" s="2711"/>
      <c r="O36" s="2692"/>
      <c r="P36" s="2692"/>
      <c r="Q36" s="2692"/>
      <c r="R36" s="2692"/>
      <c r="S36" s="2692"/>
      <c r="T36" s="2692"/>
      <c r="U36" s="2708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2708"/>
      <c r="I37" s="2709"/>
      <c r="J37" s="2710"/>
      <c r="K37" s="2692"/>
      <c r="L37" s="2692"/>
      <c r="M37" s="2692"/>
      <c r="N37" s="2711"/>
      <c r="O37" s="2692"/>
      <c r="P37" s="2692"/>
      <c r="Q37" s="2692"/>
      <c r="R37" s="2692"/>
      <c r="S37" s="2692"/>
      <c r="T37" s="2692"/>
      <c r="U37" s="2708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2708"/>
      <c r="I38" s="2709"/>
      <c r="J38" s="2710"/>
      <c r="K38" s="2692"/>
      <c r="L38" s="2692"/>
      <c r="M38" s="2692"/>
      <c r="N38" s="2711"/>
      <c r="O38" s="2692"/>
      <c r="P38" s="2692"/>
      <c r="Q38" s="2692"/>
      <c r="R38" s="2692"/>
      <c r="S38" s="2692"/>
      <c r="T38" s="2692"/>
      <c r="U38" s="2708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2708"/>
      <c r="I39" s="2709"/>
      <c r="J39" s="2710"/>
      <c r="K39" s="2692"/>
      <c r="L39" s="2692"/>
      <c r="M39" s="2692"/>
      <c r="N39" s="2711"/>
      <c r="O39" s="2692"/>
      <c r="P39" s="2692"/>
      <c r="Q39" s="2692"/>
      <c r="R39" s="2692"/>
      <c r="S39" s="2692"/>
      <c r="T39" s="2692"/>
      <c r="U39" s="2708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2704"/>
      <c r="I40" s="2705"/>
      <c r="J40" s="2706"/>
      <c r="K40" s="2692"/>
      <c r="L40" s="2692"/>
      <c r="M40" s="2692"/>
      <c r="N40" s="2707"/>
      <c r="O40" s="2692"/>
      <c r="P40" s="2692"/>
      <c r="Q40" s="2692"/>
      <c r="R40" s="2692"/>
      <c r="S40" s="2692"/>
      <c r="T40" s="2692"/>
      <c r="U40" s="2704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2708"/>
      <c r="I41" s="2709"/>
      <c r="J41" s="2710"/>
      <c r="K41" s="2692"/>
      <c r="L41" s="2692"/>
      <c r="M41" s="2692"/>
      <c r="N41" s="2711"/>
      <c r="O41" s="2692"/>
      <c r="P41" s="2692"/>
      <c r="Q41" s="2692"/>
      <c r="R41" s="2692"/>
      <c r="S41" s="2692"/>
      <c r="T41" s="2692"/>
      <c r="U41" s="2708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2708"/>
      <c r="I42" s="2709"/>
      <c r="J42" s="2710"/>
      <c r="K42" s="2692"/>
      <c r="L42" s="2692"/>
      <c r="M42" s="2692"/>
      <c r="N42" s="2711"/>
      <c r="O42" s="2692"/>
      <c r="P42" s="2692"/>
      <c r="Q42" s="2692"/>
      <c r="R42" s="2692"/>
      <c r="S42" s="2692"/>
      <c r="T42" s="2692"/>
      <c r="U42" s="2708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2708"/>
      <c r="I43" s="2709"/>
      <c r="J43" s="2710"/>
      <c r="K43" s="2692"/>
      <c r="L43" s="2692"/>
      <c r="M43" s="2692"/>
      <c r="N43" s="2711"/>
      <c r="O43" s="2692"/>
      <c r="P43" s="2692"/>
      <c r="Q43" s="2692"/>
      <c r="R43" s="2692"/>
      <c r="S43" s="2692"/>
      <c r="T43" s="2692"/>
      <c r="U43" s="2708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2708"/>
      <c r="I44" s="2709"/>
      <c r="J44" s="2710"/>
      <c r="K44" s="2692"/>
      <c r="L44" s="2692"/>
      <c r="M44" s="2692"/>
      <c r="N44" s="2711"/>
      <c r="O44" s="2692"/>
      <c r="P44" s="2692"/>
      <c r="Q44" s="2692"/>
      <c r="R44" s="2692"/>
      <c r="S44" s="2692"/>
      <c r="T44" s="2692"/>
      <c r="U44" s="2708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2708"/>
      <c r="I45" s="2709"/>
      <c r="J45" s="2712"/>
      <c r="K45" s="2692"/>
      <c r="L45" s="2692"/>
      <c r="M45" s="2692"/>
      <c r="N45" s="2711"/>
      <c r="O45" s="2692"/>
      <c r="P45" s="2692"/>
      <c r="Q45" s="2692"/>
      <c r="R45" s="2692"/>
      <c r="S45" s="2692"/>
      <c r="T45" s="2692"/>
      <c r="U45" s="2708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2713"/>
      <c r="I46" s="2709"/>
      <c r="J46" s="2712"/>
      <c r="K46" s="2714"/>
      <c r="L46" s="2692"/>
      <c r="M46" s="2692"/>
      <c r="N46" s="2715"/>
      <c r="O46" s="2692"/>
      <c r="P46" s="2692"/>
      <c r="Q46" s="2692"/>
      <c r="R46" s="2692"/>
      <c r="S46" s="2692"/>
      <c r="T46" s="2692"/>
      <c r="U46" s="2713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2713"/>
      <c r="I47" s="2709"/>
      <c r="J47" s="2716"/>
      <c r="K47" s="2714"/>
      <c r="L47" s="2692"/>
      <c r="M47" s="2692"/>
      <c r="N47" s="2715"/>
      <c r="O47" s="2692"/>
      <c r="P47" s="2692"/>
      <c r="Q47" s="2692"/>
      <c r="R47" s="2692"/>
      <c r="S47" s="2692"/>
      <c r="T47" s="2692"/>
      <c r="U47" s="2713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2713"/>
      <c r="I48" s="2709"/>
      <c r="J48" s="2716"/>
      <c r="K48" s="2714"/>
      <c r="L48" s="2692"/>
      <c r="M48" s="2692"/>
      <c r="N48" s="2715"/>
      <c r="O48" s="2692"/>
      <c r="P48" s="2692"/>
      <c r="Q48" s="2692"/>
      <c r="R48" s="2692"/>
      <c r="S48" s="2692"/>
      <c r="T48" s="2692"/>
      <c r="U48" s="2713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2708">
        <f t="shared" ref="H49:J51" si="1">H50</f>
        <v>0</v>
      </c>
      <c r="I49" s="2709">
        <f t="shared" si="1"/>
        <v>659.56200000000001</v>
      </c>
      <c r="J49" s="2710">
        <f t="shared" si="1"/>
        <v>725.51900000000001</v>
      </c>
      <c r="K49" s="2692"/>
      <c r="L49" s="2692"/>
      <c r="M49" s="2692"/>
      <c r="N49" s="2711"/>
      <c r="O49" s="2692"/>
      <c r="P49" s="2692"/>
      <c r="Q49" s="2692"/>
      <c r="R49" s="2692"/>
      <c r="S49" s="2692"/>
      <c r="T49" s="2692"/>
      <c r="U49" s="2708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2708">
        <f t="shared" si="1"/>
        <v>0</v>
      </c>
      <c r="I50" s="2709">
        <f t="shared" si="1"/>
        <v>659.56200000000001</v>
      </c>
      <c r="J50" s="2710">
        <f t="shared" si="1"/>
        <v>725.51900000000001</v>
      </c>
      <c r="K50" s="2692"/>
      <c r="L50" s="2692"/>
      <c r="M50" s="2692"/>
      <c r="N50" s="2711"/>
      <c r="O50" s="2692"/>
      <c r="P50" s="2692"/>
      <c r="Q50" s="2692"/>
      <c r="R50" s="2692"/>
      <c r="S50" s="2692"/>
      <c r="T50" s="2692"/>
      <c r="U50" s="2708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2708">
        <f t="shared" si="1"/>
        <v>0</v>
      </c>
      <c r="I51" s="2709">
        <f t="shared" si="1"/>
        <v>659.56200000000001</v>
      </c>
      <c r="J51" s="2710">
        <f t="shared" si="1"/>
        <v>725.51900000000001</v>
      </c>
      <c r="K51" s="2692"/>
      <c r="L51" s="2692"/>
      <c r="M51" s="2692"/>
      <c r="N51" s="2711"/>
      <c r="O51" s="2692"/>
      <c r="P51" s="2692"/>
      <c r="Q51" s="2692"/>
      <c r="R51" s="2692"/>
      <c r="S51" s="2692"/>
      <c r="T51" s="2692"/>
      <c r="U51" s="2708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2708"/>
      <c r="I52" s="2709">
        <v>659.56200000000001</v>
      </c>
      <c r="J52" s="2712">
        <v>725.51900000000001</v>
      </c>
      <c r="K52" s="2692">
        <v>0</v>
      </c>
      <c r="L52" s="2692"/>
      <c r="M52" s="2692"/>
      <c r="N52" s="2711"/>
      <c r="O52" s="2692"/>
      <c r="P52" s="2692"/>
      <c r="Q52" s="2692"/>
      <c r="R52" s="2692"/>
      <c r="S52" s="2692"/>
      <c r="T52" s="2692"/>
      <c r="U52" s="2708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2704"/>
      <c r="I53" s="2705">
        <f t="shared" ref="H53:J57" si="2">I54</f>
        <v>0</v>
      </c>
      <c r="J53" s="2717">
        <f t="shared" si="2"/>
        <v>0</v>
      </c>
      <c r="K53" s="2692"/>
      <c r="L53" s="2692"/>
      <c r="M53" s="2692"/>
      <c r="N53" s="2707"/>
      <c r="O53" s="2692"/>
      <c r="P53" s="2692"/>
      <c r="Q53" s="2692"/>
      <c r="R53" s="2692"/>
      <c r="S53" s="2692"/>
      <c r="T53" s="2692"/>
      <c r="U53" s="2704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2708">
        <f t="shared" si="2"/>
        <v>0</v>
      </c>
      <c r="I54" s="2709">
        <f t="shared" si="2"/>
        <v>0</v>
      </c>
      <c r="J54" s="2712">
        <f t="shared" si="2"/>
        <v>0</v>
      </c>
      <c r="K54" s="2692"/>
      <c r="L54" s="2692"/>
      <c r="M54" s="2692"/>
      <c r="N54" s="2711">
        <f t="shared" ref="N54:N57" si="3">N55</f>
        <v>0</v>
      </c>
      <c r="O54" s="2692"/>
      <c r="P54" s="2692"/>
      <c r="Q54" s="2692"/>
      <c r="R54" s="2692"/>
      <c r="S54" s="2692"/>
      <c r="T54" s="2692"/>
      <c r="U54" s="2708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2708">
        <f t="shared" si="2"/>
        <v>0</v>
      </c>
      <c r="I55" s="2709">
        <f t="shared" si="2"/>
        <v>0</v>
      </c>
      <c r="J55" s="2712">
        <f t="shared" si="2"/>
        <v>0</v>
      </c>
      <c r="K55" s="2692"/>
      <c r="L55" s="2692"/>
      <c r="M55" s="2692"/>
      <c r="N55" s="2711">
        <f t="shared" si="3"/>
        <v>0</v>
      </c>
      <c r="O55" s="2692"/>
      <c r="P55" s="2692"/>
      <c r="Q55" s="2692"/>
      <c r="R55" s="2692"/>
      <c r="S55" s="2692"/>
      <c r="T55" s="2692"/>
      <c r="U55" s="2708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2708">
        <f t="shared" si="2"/>
        <v>0</v>
      </c>
      <c r="I56" s="2709">
        <f t="shared" si="2"/>
        <v>0</v>
      </c>
      <c r="J56" s="2712">
        <f t="shared" si="2"/>
        <v>0</v>
      </c>
      <c r="K56" s="2692"/>
      <c r="L56" s="2692"/>
      <c r="M56" s="2692"/>
      <c r="N56" s="2711">
        <f t="shared" si="3"/>
        <v>0</v>
      </c>
      <c r="O56" s="2692"/>
      <c r="P56" s="2692"/>
      <c r="Q56" s="2692"/>
      <c r="R56" s="2692"/>
      <c r="S56" s="2692"/>
      <c r="T56" s="2692"/>
      <c r="U56" s="2708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2708">
        <f t="shared" si="2"/>
        <v>0</v>
      </c>
      <c r="I57" s="2709">
        <f t="shared" si="2"/>
        <v>0</v>
      </c>
      <c r="J57" s="2712">
        <f t="shared" si="2"/>
        <v>0</v>
      </c>
      <c r="K57" s="2692"/>
      <c r="L57" s="2692"/>
      <c r="M57" s="2692"/>
      <c r="N57" s="2711">
        <f t="shared" si="3"/>
        <v>0</v>
      </c>
      <c r="O57" s="2692"/>
      <c r="P57" s="2692"/>
      <c r="Q57" s="2692"/>
      <c r="R57" s="2692"/>
      <c r="S57" s="2692"/>
      <c r="T57" s="2692"/>
      <c r="U57" s="2708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2718"/>
      <c r="I58" s="2719"/>
      <c r="J58" s="2720"/>
      <c r="K58" s="2692"/>
      <c r="L58" s="2692"/>
      <c r="M58" s="2692"/>
      <c r="N58" s="2721"/>
      <c r="O58" s="2692"/>
      <c r="P58" s="2692"/>
      <c r="Q58" s="2692"/>
      <c r="R58" s="2692"/>
      <c r="S58" s="2692"/>
      <c r="T58" s="2692"/>
      <c r="U58" s="2718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2694">
        <f>H60+H139+H177+H250+H421+H443+H470+H489+H129</f>
        <v>119924.78807</v>
      </c>
      <c r="I59" s="2695">
        <f>I60+I139+I177+I250+I421+I443+I470+I489+I129</f>
        <v>33621.64</v>
      </c>
      <c r="J59" s="2698">
        <f>J60+J139+J177+J250+J421+J443+J470+J489+J129</f>
        <v>31233.512999999999</v>
      </c>
      <c r="K59" s="2692"/>
      <c r="L59" s="2692"/>
      <c r="M59" s="2692"/>
      <c r="N59" s="2697">
        <f>N60+N139+N177+N250+N421+N443+N470+N489+N129</f>
        <v>127794.15444</v>
      </c>
      <c r="O59" s="2692"/>
      <c r="P59" s="2692"/>
      <c r="Q59" s="2692"/>
      <c r="R59" s="2692"/>
      <c r="S59" s="2692"/>
      <c r="T59" s="2692"/>
      <c r="U59" s="2694">
        <f>U60+U139+U177+U250+U421+U443+U470+U489+U129</f>
        <v>95079.687000000005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2689">
        <f>H61+H100+H107+H93</f>
        <v>27965.782679999997</v>
      </c>
      <c r="I60" s="2722">
        <f>I61+I100+I107</f>
        <v>15821.640000000001</v>
      </c>
      <c r="J60" s="2723">
        <f>J61+J100+J107</f>
        <v>16796.02</v>
      </c>
      <c r="K60" s="2692"/>
      <c r="L60" s="2692"/>
      <c r="M60" s="2692"/>
      <c r="N60" s="2693">
        <f>N61+N100+N107+N93</f>
        <v>22308.172999999999</v>
      </c>
      <c r="O60" s="2692"/>
      <c r="P60" s="2692"/>
      <c r="Q60" s="2692"/>
      <c r="R60" s="2692"/>
      <c r="S60" s="2692"/>
      <c r="T60" s="2692"/>
      <c r="U60" s="2689">
        <f>U61+U100+U107+U93</f>
        <v>26219.221000000001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2724">
        <f>H62</f>
        <v>21737.445489999998</v>
      </c>
      <c r="I61" s="2725">
        <f>I62</f>
        <v>15223.140000000001</v>
      </c>
      <c r="J61" s="2726">
        <f>J62</f>
        <v>16197.52</v>
      </c>
      <c r="K61" s="2727">
        <f>K67+K69+K71+K74+K77+K85+K92</f>
        <v>17500.908000000003</v>
      </c>
      <c r="L61" s="2727">
        <f>18156.908</f>
        <v>18156.907999999999</v>
      </c>
      <c r="M61" s="2727">
        <f>L61-K61</f>
        <v>655.99999999999636</v>
      </c>
      <c r="N61" s="2728">
        <f>N62</f>
        <v>22298.172999999999</v>
      </c>
      <c r="O61" s="2727"/>
      <c r="P61" s="2727"/>
      <c r="Q61" s="2727"/>
      <c r="R61" s="2727"/>
      <c r="S61" s="2727"/>
      <c r="T61" s="2727"/>
      <c r="U61" s="2724">
        <f>U62</f>
        <v>21909.221000000001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2708">
        <f>H63+H81</f>
        <v>21737.445489999998</v>
      </c>
      <c r="I62" s="2709">
        <f>I63+I81</f>
        <v>15223.140000000001</v>
      </c>
      <c r="J62" s="2710">
        <f>J63+J81</f>
        <v>16197.52</v>
      </c>
      <c r="K62" s="2692"/>
      <c r="L62" s="2692"/>
      <c r="M62" s="2692"/>
      <c r="N62" s="2711">
        <f>N63+N81</f>
        <v>22298.172999999999</v>
      </c>
      <c r="O62" s="2692"/>
      <c r="P62" s="2692"/>
      <c r="Q62" s="2692"/>
      <c r="R62" s="2692"/>
      <c r="S62" s="2692"/>
      <c r="T62" s="2692"/>
      <c r="U62" s="2708">
        <f>U63+U81</f>
        <v>21909.221000000001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2708">
        <f>H64</f>
        <v>20143.356489999998</v>
      </c>
      <c r="I63" s="2709">
        <f>I64</f>
        <v>13595.477000000001</v>
      </c>
      <c r="J63" s="2710">
        <f>J64</f>
        <v>14414.787</v>
      </c>
      <c r="K63" s="2692"/>
      <c r="L63" s="2692"/>
      <c r="M63" s="2692"/>
      <c r="N63" s="2711">
        <f>N64</f>
        <v>20640.319</v>
      </c>
      <c r="O63" s="2692"/>
      <c r="P63" s="2692"/>
      <c r="Q63" s="2692"/>
      <c r="R63" s="2692"/>
      <c r="S63" s="2692"/>
      <c r="T63" s="2692"/>
      <c r="U63" s="2708">
        <f>U64</f>
        <v>20185.054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2708">
        <f>H65+H72+H75+H78</f>
        <v>20143.356489999998</v>
      </c>
      <c r="I64" s="2709">
        <f>I65+I72+I75+I78</f>
        <v>13595.477000000001</v>
      </c>
      <c r="J64" s="2710">
        <f>J65+J72+J75+J78</f>
        <v>14414.787</v>
      </c>
      <c r="K64" s="2692"/>
      <c r="L64" s="2692"/>
      <c r="M64" s="2692"/>
      <c r="N64" s="2711">
        <f>N65+N72+N75+N78</f>
        <v>20640.319</v>
      </c>
      <c r="O64" s="2692"/>
      <c r="P64" s="2692"/>
      <c r="Q64" s="2692"/>
      <c r="R64" s="2692"/>
      <c r="S64" s="2692"/>
      <c r="T64" s="2692"/>
      <c r="U64" s="2708">
        <f>U65+U72+U75+U78</f>
        <v>20185.054</v>
      </c>
    </row>
    <row r="65" spans="1:2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2708">
        <f>H67+H69+H71</f>
        <v>19737.956149999998</v>
      </c>
      <c r="I65" s="2709">
        <f>I67+I69</f>
        <v>13595.477000000001</v>
      </c>
      <c r="J65" s="2710">
        <f>J67+J69</f>
        <v>14414.787</v>
      </c>
      <c r="K65" s="2692"/>
      <c r="L65" s="2692"/>
      <c r="M65" s="2692"/>
      <c r="N65" s="2711">
        <f>N67+N69+N71</f>
        <v>20640.319</v>
      </c>
      <c r="O65" s="2692"/>
      <c r="P65" s="2692"/>
      <c r="Q65" s="2692"/>
      <c r="R65" s="2692"/>
      <c r="S65" s="2692"/>
      <c r="T65" s="2692"/>
      <c r="U65" s="2708">
        <f>U67+U69+U71</f>
        <v>20185.054</v>
      </c>
    </row>
    <row r="66" spans="1:2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2708">
        <f>H67</f>
        <v>14620.518</v>
      </c>
      <c r="I66" s="2709"/>
      <c r="J66" s="2716"/>
      <c r="K66" s="2692"/>
      <c r="L66" s="2692"/>
      <c r="M66" s="2692"/>
      <c r="N66" s="2711">
        <f t="shared" ref="N66:U66" si="5">N67</f>
        <v>14927.62</v>
      </c>
      <c r="O66" s="2692">
        <f t="shared" si="5"/>
        <v>0</v>
      </c>
      <c r="P66" s="2692">
        <f t="shared" si="5"/>
        <v>0</v>
      </c>
      <c r="Q66" s="2692">
        <f t="shared" si="5"/>
        <v>0</v>
      </c>
      <c r="R66" s="2692">
        <f t="shared" si="5"/>
        <v>0</v>
      </c>
      <c r="S66" s="2692">
        <f t="shared" si="5"/>
        <v>0</v>
      </c>
      <c r="T66" s="2692">
        <f t="shared" si="5"/>
        <v>0</v>
      </c>
      <c r="U66" s="2708">
        <f t="shared" si="5"/>
        <v>15514.164000000001</v>
      </c>
    </row>
    <row r="67" spans="1:2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2708">
        <f>14382.018+238.5</f>
        <v>14620.518</v>
      </c>
      <c r="I67" s="2709">
        <v>8998.8070000000007</v>
      </c>
      <c r="J67" s="2712">
        <v>9997.6880000000001</v>
      </c>
      <c r="K67" s="2692">
        <f>11012.345+22.735+0.6+3325.728-618.8</f>
        <v>13742.608</v>
      </c>
      <c r="L67" s="2692"/>
      <c r="M67" s="2692"/>
      <c r="N67" s="2711">
        <v>14927.62</v>
      </c>
      <c r="O67" s="2692"/>
      <c r="P67" s="2692"/>
      <c r="Q67" s="2692"/>
      <c r="R67" s="2692"/>
      <c r="S67" s="2692"/>
      <c r="T67" s="2692"/>
      <c r="U67" s="2708">
        <v>15514.164000000001</v>
      </c>
    </row>
    <row r="68" spans="1:2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2708">
        <f>H69</f>
        <v>5107.43815</v>
      </c>
      <c r="I68" s="2709"/>
      <c r="J68" s="2712"/>
      <c r="K68" s="2692"/>
      <c r="L68" s="2692"/>
      <c r="M68" s="2692"/>
      <c r="N68" s="2711">
        <f>N69</f>
        <v>5702.6989999999996</v>
      </c>
      <c r="O68" s="2692"/>
      <c r="P68" s="2692"/>
      <c r="Q68" s="2692"/>
      <c r="R68" s="2692"/>
      <c r="S68" s="2692"/>
      <c r="T68" s="2692"/>
      <c r="U68" s="2708">
        <f>U69</f>
        <v>4660.8900000000003</v>
      </c>
    </row>
    <row r="69" spans="1:2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2708">
        <f>5417.617+21-19.20834-238.5-73.47051</f>
        <v>5107.43815</v>
      </c>
      <c r="I69" s="2709">
        <v>4596.67</v>
      </c>
      <c r="J69" s="2712">
        <v>4417.0990000000002</v>
      </c>
      <c r="K69" s="2714">
        <f>1845.107-350.262-37.2</f>
        <v>1457.645</v>
      </c>
      <c r="L69" s="2692"/>
      <c r="M69" s="2692"/>
      <c r="N69" s="2711">
        <v>5702.6989999999996</v>
      </c>
      <c r="O69" s="2692"/>
      <c r="P69" s="2692"/>
      <c r="Q69" s="2692"/>
      <c r="R69" s="2692"/>
      <c r="S69" s="2692"/>
      <c r="T69" s="2692"/>
      <c r="U69" s="2708">
        <v>4660.8900000000003</v>
      </c>
    </row>
    <row r="70" spans="1:2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2708">
        <f t="shared" ref="H70:U70" si="6">H71</f>
        <v>10</v>
      </c>
      <c r="I70" s="2709">
        <f t="shared" si="6"/>
        <v>0</v>
      </c>
      <c r="J70" s="2712">
        <f t="shared" si="6"/>
        <v>0</v>
      </c>
      <c r="K70" s="2714">
        <f t="shared" si="6"/>
        <v>10</v>
      </c>
      <c r="L70" s="2692">
        <f t="shared" si="6"/>
        <v>0</v>
      </c>
      <c r="M70" s="2692">
        <f t="shared" si="6"/>
        <v>0</v>
      </c>
      <c r="N70" s="2711">
        <f t="shared" si="6"/>
        <v>10</v>
      </c>
      <c r="O70" s="2692">
        <f t="shared" si="6"/>
        <v>0</v>
      </c>
      <c r="P70" s="2692">
        <f t="shared" si="6"/>
        <v>0</v>
      </c>
      <c r="Q70" s="2692">
        <f t="shared" si="6"/>
        <v>0</v>
      </c>
      <c r="R70" s="2692">
        <f t="shared" si="6"/>
        <v>0</v>
      </c>
      <c r="S70" s="2692">
        <f t="shared" si="6"/>
        <v>0</v>
      </c>
      <c r="T70" s="2692">
        <f t="shared" si="6"/>
        <v>0</v>
      </c>
      <c r="U70" s="2708">
        <f t="shared" si="6"/>
        <v>10</v>
      </c>
    </row>
    <row r="71" spans="1:2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2708">
        <v>10</v>
      </c>
      <c r="I71" s="2709"/>
      <c r="J71" s="2712"/>
      <c r="K71" s="2714">
        <v>10</v>
      </c>
      <c r="L71" s="2692"/>
      <c r="M71" s="2692"/>
      <c r="N71" s="2711">
        <v>10</v>
      </c>
      <c r="O71" s="2692"/>
      <c r="P71" s="2692"/>
      <c r="Q71" s="2692"/>
      <c r="R71" s="2692"/>
      <c r="S71" s="2692"/>
      <c r="T71" s="2692"/>
      <c r="U71" s="2708">
        <v>10</v>
      </c>
    </row>
    <row r="72" spans="1:2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2729">
        <f>H74</f>
        <v>57.192</v>
      </c>
      <c r="I72" s="2730">
        <f>I74</f>
        <v>0</v>
      </c>
      <c r="J72" s="2731">
        <f>J74</f>
        <v>0</v>
      </c>
      <c r="K72" s="2692"/>
      <c r="L72" s="2692"/>
      <c r="M72" s="2692"/>
      <c r="N72" s="2732">
        <f>N74</f>
        <v>0</v>
      </c>
      <c r="O72" s="2692"/>
      <c r="P72" s="2692"/>
      <c r="Q72" s="2692"/>
      <c r="R72" s="2692"/>
      <c r="S72" s="2692"/>
      <c r="T72" s="2692"/>
      <c r="U72" s="2729">
        <f>U74</f>
        <v>0</v>
      </c>
    </row>
    <row r="73" spans="1:2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2729">
        <f t="shared" ref="H73:U73" si="7">H74</f>
        <v>57.192</v>
      </c>
      <c r="I73" s="2730">
        <f t="shared" si="7"/>
        <v>0</v>
      </c>
      <c r="J73" s="2731">
        <f t="shared" si="7"/>
        <v>0</v>
      </c>
      <c r="K73" s="2692">
        <f t="shared" si="7"/>
        <v>50.6</v>
      </c>
      <c r="L73" s="2692">
        <f t="shared" si="7"/>
        <v>0</v>
      </c>
      <c r="M73" s="2692">
        <f t="shared" si="7"/>
        <v>0</v>
      </c>
      <c r="N73" s="2732">
        <f t="shared" si="7"/>
        <v>0</v>
      </c>
      <c r="O73" s="2692">
        <f t="shared" si="7"/>
        <v>0</v>
      </c>
      <c r="P73" s="2692">
        <f t="shared" si="7"/>
        <v>0</v>
      </c>
      <c r="Q73" s="2692">
        <f t="shared" si="7"/>
        <v>0</v>
      </c>
      <c r="R73" s="2692">
        <f t="shared" si="7"/>
        <v>0</v>
      </c>
      <c r="S73" s="2692">
        <f t="shared" si="7"/>
        <v>0</v>
      </c>
      <c r="T73" s="2692">
        <f t="shared" si="7"/>
        <v>0</v>
      </c>
      <c r="U73" s="2729">
        <f t="shared" si="7"/>
        <v>0</v>
      </c>
    </row>
    <row r="74" spans="1:2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2729">
        <v>57.192</v>
      </c>
      <c r="I74" s="2730"/>
      <c r="J74" s="2731"/>
      <c r="K74" s="2692">
        <v>50.6</v>
      </c>
      <c r="L74" s="2692"/>
      <c r="M74" s="2692"/>
      <c r="N74" s="2732">
        <v>0</v>
      </c>
      <c r="O74" s="2692"/>
      <c r="P74" s="2692"/>
      <c r="Q74" s="2692"/>
      <c r="R74" s="2692"/>
      <c r="S74" s="2692"/>
      <c r="T74" s="2692"/>
      <c r="U74" s="2729">
        <v>0</v>
      </c>
    </row>
    <row r="75" spans="1:2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2729">
        <f>H77</f>
        <v>329</v>
      </c>
      <c r="I75" s="2730">
        <f>I77</f>
        <v>0</v>
      </c>
      <c r="J75" s="2731">
        <f>J77</f>
        <v>0</v>
      </c>
      <c r="K75" s="2692"/>
      <c r="L75" s="2692"/>
      <c r="M75" s="2692"/>
      <c r="N75" s="2732">
        <f>N77</f>
        <v>0</v>
      </c>
      <c r="O75" s="2692"/>
      <c r="P75" s="2692"/>
      <c r="Q75" s="2692"/>
      <c r="R75" s="2692"/>
      <c r="S75" s="2692"/>
      <c r="T75" s="2692"/>
      <c r="U75" s="2729">
        <f>U77</f>
        <v>0</v>
      </c>
    </row>
    <row r="76" spans="1:2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2729">
        <f t="shared" ref="H76:U76" si="8">H77</f>
        <v>329</v>
      </c>
      <c r="I76" s="2730">
        <f t="shared" si="8"/>
        <v>0</v>
      </c>
      <c r="J76" s="2731">
        <f t="shared" si="8"/>
        <v>0</v>
      </c>
      <c r="K76" s="2692">
        <f t="shared" si="8"/>
        <v>307.5</v>
      </c>
      <c r="L76" s="2692">
        <f t="shared" si="8"/>
        <v>0</v>
      </c>
      <c r="M76" s="2692">
        <f t="shared" si="8"/>
        <v>0</v>
      </c>
      <c r="N76" s="2732">
        <f t="shared" si="8"/>
        <v>0</v>
      </c>
      <c r="O76" s="2692">
        <f t="shared" si="8"/>
        <v>0</v>
      </c>
      <c r="P76" s="2692">
        <f t="shared" si="8"/>
        <v>0</v>
      </c>
      <c r="Q76" s="2692">
        <f t="shared" si="8"/>
        <v>0</v>
      </c>
      <c r="R76" s="2692">
        <f t="shared" si="8"/>
        <v>0</v>
      </c>
      <c r="S76" s="2692">
        <f t="shared" si="8"/>
        <v>0</v>
      </c>
      <c r="T76" s="2692">
        <f t="shared" si="8"/>
        <v>0</v>
      </c>
      <c r="U76" s="2729">
        <f t="shared" si="8"/>
        <v>0</v>
      </c>
    </row>
    <row r="77" spans="1:2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2729">
        <f>350-21</f>
        <v>329</v>
      </c>
      <c r="I77" s="2730"/>
      <c r="J77" s="2731"/>
      <c r="K77" s="2692">
        <v>307.5</v>
      </c>
      <c r="L77" s="2692"/>
      <c r="M77" s="2692"/>
      <c r="N77" s="2732">
        <v>0</v>
      </c>
      <c r="O77" s="2692"/>
      <c r="P77" s="2692"/>
      <c r="Q77" s="2692"/>
      <c r="R77" s="2692"/>
      <c r="S77" s="2692"/>
      <c r="T77" s="2692"/>
      <c r="U77" s="2729">
        <v>0</v>
      </c>
    </row>
    <row r="78" spans="1:21" ht="39" x14ac:dyDescent="0.25">
      <c r="A78" s="842"/>
      <c r="B78" s="2853" t="s">
        <v>1233</v>
      </c>
      <c r="C78" s="1183"/>
      <c r="D78" s="409" t="s">
        <v>456</v>
      </c>
      <c r="E78" s="409" t="s">
        <v>452</v>
      </c>
      <c r="F78" s="409" t="s">
        <v>146</v>
      </c>
      <c r="G78" s="1662"/>
      <c r="H78" s="2729">
        <f>H80</f>
        <v>19.20834</v>
      </c>
      <c r="I78" s="2730">
        <f>I80</f>
        <v>0</v>
      </c>
      <c r="J78" s="2731">
        <f>J80</f>
        <v>0</v>
      </c>
      <c r="K78" s="2692"/>
      <c r="L78" s="2692"/>
      <c r="M78" s="2692"/>
      <c r="N78" s="2732">
        <f>N80</f>
        <v>0</v>
      </c>
      <c r="O78" s="2692"/>
      <c r="P78" s="2692"/>
      <c r="Q78" s="2692"/>
      <c r="R78" s="2692"/>
      <c r="S78" s="2692"/>
      <c r="T78" s="2692"/>
      <c r="U78" s="2729">
        <f>U80</f>
        <v>0</v>
      </c>
    </row>
    <row r="79" spans="1:21" x14ac:dyDescent="0.25">
      <c r="A79" s="842"/>
      <c r="B79" s="1201" t="s">
        <v>1069</v>
      </c>
      <c r="C79" s="1183"/>
      <c r="D79" s="409" t="s">
        <v>456</v>
      </c>
      <c r="E79" s="409" t="s">
        <v>452</v>
      </c>
      <c r="F79" s="409" t="s">
        <v>146</v>
      </c>
      <c r="G79" s="1662" t="s">
        <v>1066</v>
      </c>
      <c r="H79" s="2729">
        <f>H80</f>
        <v>19.20834</v>
      </c>
      <c r="I79" s="2730"/>
      <c r="J79" s="2731"/>
      <c r="K79" s="2692"/>
      <c r="L79" s="2692"/>
      <c r="M79" s="2692"/>
      <c r="N79" s="2732"/>
      <c r="O79" s="2692"/>
      <c r="P79" s="2692"/>
      <c r="Q79" s="2692"/>
      <c r="R79" s="2692"/>
      <c r="S79" s="2692"/>
      <c r="T79" s="2692"/>
      <c r="U79" s="2729"/>
    </row>
    <row r="80" spans="1:21" x14ac:dyDescent="0.25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146</v>
      </c>
      <c r="G80" s="1662" t="s">
        <v>120</v>
      </c>
      <c r="H80" s="2729">
        <v>19.20834</v>
      </c>
      <c r="I80" s="2730"/>
      <c r="J80" s="2731"/>
      <c r="K80" s="2692"/>
      <c r="L80" s="2692"/>
      <c r="M80" s="2692"/>
      <c r="N80" s="2732">
        <v>0</v>
      </c>
      <c r="O80" s="2692"/>
      <c r="P80" s="2692"/>
      <c r="Q80" s="2692"/>
      <c r="R80" s="2692"/>
      <c r="S80" s="2692"/>
      <c r="T80" s="2692"/>
      <c r="U80" s="2729">
        <v>0</v>
      </c>
    </row>
    <row r="81" spans="1:21" ht="31.5" x14ac:dyDescent="0.25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29">
        <f>H82</f>
        <v>1594.0889999999999</v>
      </c>
      <c r="I81" s="2730">
        <f t="shared" ref="I81:J82" si="9">I82</f>
        <v>1627.663</v>
      </c>
      <c r="J81" s="2731">
        <f t="shared" si="9"/>
        <v>1782.7329999999999</v>
      </c>
      <c r="K81" s="2692"/>
      <c r="L81" s="2692"/>
      <c r="M81" s="2692"/>
      <c r="N81" s="2732">
        <f>N82</f>
        <v>1657.854</v>
      </c>
      <c r="O81" s="2692"/>
      <c r="P81" s="2692"/>
      <c r="Q81" s="2692"/>
      <c r="R81" s="2692"/>
      <c r="S81" s="2692"/>
      <c r="T81" s="2692"/>
      <c r="U81" s="2729">
        <f>U82</f>
        <v>1724.1669999999999</v>
      </c>
    </row>
    <row r="82" spans="1:21" x14ac:dyDescent="0.25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29">
        <f>H83</f>
        <v>1594.0889999999999</v>
      </c>
      <c r="I82" s="2730">
        <f t="shared" si="9"/>
        <v>1627.663</v>
      </c>
      <c r="J82" s="2731">
        <f t="shared" si="9"/>
        <v>1782.7329999999999</v>
      </c>
      <c r="K82" s="2692"/>
      <c r="L82" s="2692"/>
      <c r="M82" s="2692"/>
      <c r="N82" s="2732">
        <f>N83</f>
        <v>1657.854</v>
      </c>
      <c r="O82" s="2692"/>
      <c r="P82" s="2692"/>
      <c r="Q82" s="2692"/>
      <c r="R82" s="2692"/>
      <c r="S82" s="2692"/>
      <c r="T82" s="2692"/>
      <c r="U82" s="2729">
        <f>U83</f>
        <v>1724.1669999999999</v>
      </c>
    </row>
    <row r="83" spans="1:21" ht="21" x14ac:dyDescent="0.25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29">
        <f>H85</f>
        <v>1594.0889999999999</v>
      </c>
      <c r="I83" s="2730">
        <f>I85</f>
        <v>1627.663</v>
      </c>
      <c r="J83" s="2731">
        <f>J85</f>
        <v>1782.7329999999999</v>
      </c>
      <c r="K83" s="2692"/>
      <c r="L83" s="2692"/>
      <c r="M83" s="2692"/>
      <c r="N83" s="2732">
        <f>N85</f>
        <v>1657.854</v>
      </c>
      <c r="O83" s="2692"/>
      <c r="P83" s="2692"/>
      <c r="Q83" s="2692"/>
      <c r="R83" s="2692"/>
      <c r="S83" s="2692"/>
      <c r="T83" s="2692"/>
      <c r="U83" s="2729">
        <f>U85</f>
        <v>1724.1669999999999</v>
      </c>
    </row>
    <row r="84" spans="1:21" ht="31.5" x14ac:dyDescent="0.25">
      <c r="A84" s="842"/>
      <c r="B84" s="1393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29">
        <f t="shared" ref="H84:U84" si="10">H85</f>
        <v>1594.0889999999999</v>
      </c>
      <c r="I84" s="2730">
        <f t="shared" si="10"/>
        <v>1627.663</v>
      </c>
      <c r="J84" s="2731">
        <f t="shared" si="10"/>
        <v>1782.7329999999999</v>
      </c>
      <c r="K84" s="2692">
        <f t="shared" si="10"/>
        <v>1512.6</v>
      </c>
      <c r="L84" s="2692">
        <f t="shared" si="10"/>
        <v>0</v>
      </c>
      <c r="M84" s="2692">
        <f t="shared" si="10"/>
        <v>0</v>
      </c>
      <c r="N84" s="2732">
        <f t="shared" si="10"/>
        <v>1657.854</v>
      </c>
      <c r="O84" s="2692">
        <f t="shared" si="10"/>
        <v>0</v>
      </c>
      <c r="P84" s="2692">
        <f t="shared" si="10"/>
        <v>0</v>
      </c>
      <c r="Q84" s="2692">
        <f t="shared" si="10"/>
        <v>0</v>
      </c>
      <c r="R84" s="2692">
        <f t="shared" si="10"/>
        <v>0</v>
      </c>
      <c r="S84" s="2692">
        <f t="shared" si="10"/>
        <v>0</v>
      </c>
      <c r="T84" s="2692">
        <f t="shared" si="10"/>
        <v>0</v>
      </c>
      <c r="U84" s="2729">
        <f t="shared" si="10"/>
        <v>1724.1669999999999</v>
      </c>
    </row>
    <row r="85" spans="1:21" x14ac:dyDescent="0.25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29">
        <v>1594.0889999999999</v>
      </c>
      <c r="I85" s="2730">
        <v>1627.663</v>
      </c>
      <c r="J85" s="2731">
        <v>1782.7329999999999</v>
      </c>
      <c r="K85" s="2692">
        <f>1161.751+350.849</f>
        <v>1512.6</v>
      </c>
      <c r="L85" s="2692"/>
      <c r="M85" s="2692"/>
      <c r="N85" s="2732">
        <v>1657.854</v>
      </c>
      <c r="O85" s="2692"/>
      <c r="P85" s="2692"/>
      <c r="Q85" s="2692"/>
      <c r="R85" s="2692"/>
      <c r="S85" s="2692"/>
      <c r="T85" s="2692"/>
      <c r="U85" s="2729">
        <v>1724.1669999999999</v>
      </c>
    </row>
    <row r="86" spans="1:21" s="760" customFormat="1" ht="23" x14ac:dyDescent="0.3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33">
        <f>H87</f>
        <v>420.65</v>
      </c>
      <c r="I86" s="2734"/>
      <c r="J86" s="2735"/>
      <c r="K86" s="2736"/>
      <c r="L86" s="2736"/>
      <c r="M86" s="2736"/>
      <c r="N86" s="2737">
        <f t="shared" ref="N86:U89" si="11">N87</f>
        <v>0</v>
      </c>
      <c r="O86" s="2736">
        <f t="shared" si="11"/>
        <v>0</v>
      </c>
      <c r="P86" s="2736">
        <f t="shared" si="11"/>
        <v>0</v>
      </c>
      <c r="Q86" s="2736">
        <f t="shared" si="11"/>
        <v>0</v>
      </c>
      <c r="R86" s="2736">
        <f t="shared" si="11"/>
        <v>0</v>
      </c>
      <c r="S86" s="2736">
        <f t="shared" si="11"/>
        <v>0</v>
      </c>
      <c r="T86" s="2736">
        <f t="shared" si="11"/>
        <v>0</v>
      </c>
      <c r="U86" s="2733">
        <f t="shared" si="11"/>
        <v>0</v>
      </c>
    </row>
    <row r="87" spans="1:21" ht="21" x14ac:dyDescent="0.25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29">
        <f>H88</f>
        <v>420.65</v>
      </c>
      <c r="I87" s="2730"/>
      <c r="J87" s="2731"/>
      <c r="K87" s="2692"/>
      <c r="L87" s="2692"/>
      <c r="M87" s="2692"/>
      <c r="N87" s="2732">
        <f t="shared" si="11"/>
        <v>0</v>
      </c>
      <c r="O87" s="2692">
        <f t="shared" si="11"/>
        <v>0</v>
      </c>
      <c r="P87" s="2692">
        <f t="shared" si="11"/>
        <v>0</v>
      </c>
      <c r="Q87" s="2692">
        <f t="shared" si="11"/>
        <v>0</v>
      </c>
      <c r="R87" s="2692">
        <f t="shared" si="11"/>
        <v>0</v>
      </c>
      <c r="S87" s="2692">
        <f t="shared" si="11"/>
        <v>0</v>
      </c>
      <c r="T87" s="2692">
        <f t="shared" si="11"/>
        <v>0</v>
      </c>
      <c r="U87" s="2729">
        <f t="shared" si="11"/>
        <v>0</v>
      </c>
    </row>
    <row r="88" spans="1:21" ht="21" x14ac:dyDescent="0.25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29">
        <f>H89</f>
        <v>420.65</v>
      </c>
      <c r="I88" s="2730"/>
      <c r="J88" s="2731"/>
      <c r="K88" s="2692"/>
      <c r="L88" s="2692"/>
      <c r="M88" s="2692"/>
      <c r="N88" s="2732">
        <f t="shared" si="11"/>
        <v>0</v>
      </c>
      <c r="O88" s="2692">
        <f t="shared" si="11"/>
        <v>0</v>
      </c>
      <c r="P88" s="2692">
        <f t="shared" si="11"/>
        <v>0</v>
      </c>
      <c r="Q88" s="2692">
        <f t="shared" si="11"/>
        <v>0</v>
      </c>
      <c r="R88" s="2692">
        <f t="shared" si="11"/>
        <v>0</v>
      </c>
      <c r="S88" s="2692">
        <f t="shared" si="11"/>
        <v>0</v>
      </c>
      <c r="T88" s="2692">
        <f t="shared" si="11"/>
        <v>0</v>
      </c>
      <c r="U88" s="2729">
        <f t="shared" si="11"/>
        <v>0</v>
      </c>
    </row>
    <row r="89" spans="1:21" x14ac:dyDescent="0.25">
      <c r="A89" s="842"/>
      <c r="B89" s="1209" t="s">
        <v>582</v>
      </c>
      <c r="C89" s="1183"/>
      <c r="D89" s="409" t="s">
        <v>456</v>
      </c>
      <c r="E89" s="409" t="s">
        <v>585</v>
      </c>
      <c r="F89" s="1204" t="s">
        <v>154</v>
      </c>
      <c r="G89" s="1662"/>
      <c r="H89" s="2729">
        <f>H90</f>
        <v>420.65</v>
      </c>
      <c r="I89" s="2730"/>
      <c r="J89" s="2731"/>
      <c r="K89" s="2692"/>
      <c r="L89" s="2692"/>
      <c r="M89" s="2692"/>
      <c r="N89" s="2732">
        <f t="shared" si="11"/>
        <v>0</v>
      </c>
      <c r="O89" s="2692">
        <f t="shared" si="11"/>
        <v>0</v>
      </c>
      <c r="P89" s="2692">
        <f t="shared" si="11"/>
        <v>0</v>
      </c>
      <c r="Q89" s="2692">
        <f t="shared" si="11"/>
        <v>0</v>
      </c>
      <c r="R89" s="2692">
        <f t="shared" si="11"/>
        <v>0</v>
      </c>
      <c r="S89" s="2692">
        <f t="shared" si="11"/>
        <v>0</v>
      </c>
      <c r="T89" s="2692">
        <f t="shared" si="11"/>
        <v>0</v>
      </c>
      <c r="U89" s="2729">
        <f t="shared" si="11"/>
        <v>0</v>
      </c>
    </row>
    <row r="90" spans="1:21" ht="21" x14ac:dyDescent="0.25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29">
        <f>H92</f>
        <v>420.65</v>
      </c>
      <c r="I90" s="2730"/>
      <c r="J90" s="2731"/>
      <c r="K90" s="2692"/>
      <c r="L90" s="2692"/>
      <c r="M90" s="2692"/>
      <c r="N90" s="2732">
        <f t="shared" ref="N90:U90" si="12">N92</f>
        <v>0</v>
      </c>
      <c r="O90" s="2692">
        <f t="shared" si="12"/>
        <v>0</v>
      </c>
      <c r="P90" s="2692">
        <f t="shared" si="12"/>
        <v>0</v>
      </c>
      <c r="Q90" s="2692">
        <f t="shared" si="12"/>
        <v>0</v>
      </c>
      <c r="R90" s="2692">
        <f t="shared" si="12"/>
        <v>0</v>
      </c>
      <c r="S90" s="2692">
        <f t="shared" si="12"/>
        <v>0</v>
      </c>
      <c r="T90" s="2692">
        <f t="shared" si="12"/>
        <v>0</v>
      </c>
      <c r="U90" s="2729">
        <f t="shared" si="12"/>
        <v>0</v>
      </c>
    </row>
    <row r="91" spans="1:21" x14ac:dyDescent="0.25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29">
        <f t="shared" ref="H91:U91" si="13">H92</f>
        <v>420.65</v>
      </c>
      <c r="I91" s="2730">
        <f t="shared" si="13"/>
        <v>0</v>
      </c>
      <c r="J91" s="2731">
        <f t="shared" si="13"/>
        <v>0</v>
      </c>
      <c r="K91" s="2692">
        <f t="shared" si="13"/>
        <v>419.95499999999998</v>
      </c>
      <c r="L91" s="2692">
        <f t="shared" si="13"/>
        <v>0</v>
      </c>
      <c r="M91" s="2692">
        <f t="shared" si="13"/>
        <v>0</v>
      </c>
      <c r="N91" s="2732">
        <f t="shared" si="13"/>
        <v>0</v>
      </c>
      <c r="O91" s="2692">
        <f t="shared" si="13"/>
        <v>0</v>
      </c>
      <c r="P91" s="2692">
        <f t="shared" si="13"/>
        <v>0</v>
      </c>
      <c r="Q91" s="2692">
        <f t="shared" si="13"/>
        <v>0</v>
      </c>
      <c r="R91" s="2692">
        <f t="shared" si="13"/>
        <v>0</v>
      </c>
      <c r="S91" s="2692">
        <f t="shared" si="13"/>
        <v>0</v>
      </c>
      <c r="T91" s="2692">
        <f t="shared" si="13"/>
        <v>0</v>
      </c>
      <c r="U91" s="2729">
        <f t="shared" si="13"/>
        <v>0</v>
      </c>
    </row>
    <row r="92" spans="1:21" x14ac:dyDescent="0.25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29">
        <v>420.65</v>
      </c>
      <c r="I92" s="2730"/>
      <c r="J92" s="2731"/>
      <c r="K92" s="2692">
        <v>419.95499999999998</v>
      </c>
      <c r="L92" s="2692"/>
      <c r="M92" s="2692"/>
      <c r="N92" s="2732">
        <v>0</v>
      </c>
      <c r="O92" s="2692"/>
      <c r="P92" s="2692"/>
      <c r="Q92" s="2692"/>
      <c r="R92" s="2692"/>
      <c r="S92" s="2692"/>
      <c r="T92" s="2692"/>
      <c r="U92" s="2729">
        <v>0</v>
      </c>
    </row>
    <row r="93" spans="1:21" s="760" customFormat="1" ht="13" hidden="1" x14ac:dyDescent="0.3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33">
        <f>H94</f>
        <v>0</v>
      </c>
      <c r="I93" s="2734"/>
      <c r="J93" s="2735"/>
      <c r="K93" s="2736"/>
      <c r="L93" s="2736"/>
      <c r="M93" s="2736"/>
      <c r="N93" s="2737">
        <f>N94</f>
        <v>0</v>
      </c>
      <c r="O93" s="2736"/>
      <c r="P93" s="2736"/>
      <c r="Q93" s="2736"/>
      <c r="R93" s="2736"/>
      <c r="S93" s="2736"/>
      <c r="T93" s="2736"/>
      <c r="U93" s="2733">
        <f>U94</f>
        <v>0</v>
      </c>
    </row>
    <row r="94" spans="1:21" ht="21" hidden="1" x14ac:dyDescent="0.25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29">
        <f>H95</f>
        <v>0</v>
      </c>
      <c r="I94" s="2730"/>
      <c r="J94" s="2731"/>
      <c r="K94" s="2692"/>
      <c r="L94" s="2692"/>
      <c r="M94" s="2692"/>
      <c r="N94" s="2732">
        <f>N95</f>
        <v>0</v>
      </c>
      <c r="O94" s="2692"/>
      <c r="P94" s="2692"/>
      <c r="Q94" s="2692"/>
      <c r="R94" s="2692"/>
      <c r="S94" s="2692"/>
      <c r="T94" s="2692"/>
      <c r="U94" s="2729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29">
        <f>H96</f>
        <v>0</v>
      </c>
      <c r="I95" s="2730"/>
      <c r="J95" s="2731"/>
      <c r="K95" s="2692"/>
      <c r="L95" s="2692"/>
      <c r="M95" s="2692"/>
      <c r="N95" s="2732">
        <f>N96</f>
        <v>0</v>
      </c>
      <c r="O95" s="2692"/>
      <c r="P95" s="2692"/>
      <c r="Q95" s="2692"/>
      <c r="R95" s="2692"/>
      <c r="S95" s="2692"/>
      <c r="T95" s="2692"/>
      <c r="U95" s="2729">
        <f>U96</f>
        <v>0</v>
      </c>
    </row>
    <row r="96" spans="1:21" hidden="1" x14ac:dyDescent="0.25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29">
        <f>H97</f>
        <v>0</v>
      </c>
      <c r="I96" s="2730"/>
      <c r="J96" s="2731"/>
      <c r="K96" s="2692"/>
      <c r="L96" s="2692"/>
      <c r="M96" s="2692"/>
      <c r="N96" s="2732">
        <f>N97</f>
        <v>0</v>
      </c>
      <c r="O96" s="2692"/>
      <c r="P96" s="2692"/>
      <c r="Q96" s="2692"/>
      <c r="R96" s="2692"/>
      <c r="S96" s="2692"/>
      <c r="T96" s="2692"/>
      <c r="U96" s="2729">
        <f>U97</f>
        <v>0</v>
      </c>
    </row>
    <row r="97" spans="1:21" ht="21" hidden="1" x14ac:dyDescent="0.25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1104</v>
      </c>
      <c r="G97" s="1662"/>
      <c r="H97" s="2729">
        <f>H99</f>
        <v>0</v>
      </c>
      <c r="I97" s="2730"/>
      <c r="J97" s="2731"/>
      <c r="K97" s="2692"/>
      <c r="L97" s="2692"/>
      <c r="M97" s="2692"/>
      <c r="N97" s="2732">
        <f>N99</f>
        <v>0</v>
      </c>
      <c r="O97" s="2692"/>
      <c r="P97" s="2692"/>
      <c r="Q97" s="2692"/>
      <c r="R97" s="2692"/>
      <c r="S97" s="2692"/>
      <c r="T97" s="2692"/>
      <c r="U97" s="2729">
        <f>U99</f>
        <v>0</v>
      </c>
    </row>
    <row r="98" spans="1:21" hidden="1" x14ac:dyDescent="0.25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1104</v>
      </c>
      <c r="G98" s="1662" t="s">
        <v>955</v>
      </c>
      <c r="H98" s="2729">
        <f t="shared" ref="H98:U98" si="14">H99</f>
        <v>0</v>
      </c>
      <c r="I98" s="2730">
        <f t="shared" si="14"/>
        <v>0</v>
      </c>
      <c r="J98" s="2731">
        <f t="shared" si="14"/>
        <v>0</v>
      </c>
      <c r="K98" s="2692">
        <f t="shared" si="14"/>
        <v>0</v>
      </c>
      <c r="L98" s="2692">
        <f t="shared" si="14"/>
        <v>0</v>
      </c>
      <c r="M98" s="2692">
        <f t="shared" si="14"/>
        <v>0</v>
      </c>
      <c r="N98" s="2732">
        <f t="shared" si="14"/>
        <v>0</v>
      </c>
      <c r="O98" s="2692">
        <f t="shared" si="14"/>
        <v>0</v>
      </c>
      <c r="P98" s="2692">
        <f t="shared" si="14"/>
        <v>0</v>
      </c>
      <c r="Q98" s="2692">
        <f t="shared" si="14"/>
        <v>0</v>
      </c>
      <c r="R98" s="2692">
        <f t="shared" si="14"/>
        <v>0</v>
      </c>
      <c r="S98" s="2692">
        <f t="shared" si="14"/>
        <v>0</v>
      </c>
      <c r="T98" s="2692">
        <f t="shared" si="14"/>
        <v>0</v>
      </c>
      <c r="U98" s="2729">
        <f t="shared" si="14"/>
        <v>0</v>
      </c>
    </row>
    <row r="99" spans="1:21" ht="21" hidden="1" x14ac:dyDescent="0.25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1104</v>
      </c>
      <c r="G99" s="1662" t="s">
        <v>1</v>
      </c>
      <c r="H99" s="2729"/>
      <c r="I99" s="2730"/>
      <c r="J99" s="2731"/>
      <c r="K99" s="2692"/>
      <c r="L99" s="2692"/>
      <c r="M99" s="2692"/>
      <c r="N99" s="2732">
        <v>0</v>
      </c>
      <c r="O99" s="2692"/>
      <c r="P99" s="2692"/>
      <c r="Q99" s="2692"/>
      <c r="R99" s="2692"/>
      <c r="S99" s="2692"/>
      <c r="T99" s="2692"/>
      <c r="U99" s="2729">
        <v>0</v>
      </c>
    </row>
    <row r="100" spans="1:21" x14ac:dyDescent="0.25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33">
        <f t="shared" ref="H100:J103" si="15">H101</f>
        <v>1000</v>
      </c>
      <c r="I100" s="2734">
        <f t="shared" si="15"/>
        <v>0</v>
      </c>
      <c r="J100" s="2735">
        <f t="shared" si="15"/>
        <v>0</v>
      </c>
      <c r="K100" s="2692"/>
      <c r="L100" s="2692"/>
      <c r="M100" s="2692"/>
      <c r="N100" s="2737">
        <f t="shared" ref="N100:N103" si="16">N101</f>
        <v>0</v>
      </c>
      <c r="O100" s="2692"/>
      <c r="P100" s="2692"/>
      <c r="Q100" s="2692"/>
      <c r="R100" s="2692"/>
      <c r="S100" s="2692"/>
      <c r="T100" s="2692"/>
      <c r="U100" s="2733">
        <f t="shared" ref="U100:U103" si="17">U101</f>
        <v>2650</v>
      </c>
    </row>
    <row r="101" spans="1:21" ht="21" x14ac:dyDescent="0.25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29">
        <f t="shared" si="15"/>
        <v>1000</v>
      </c>
      <c r="I101" s="2730">
        <f t="shared" si="15"/>
        <v>0</v>
      </c>
      <c r="J101" s="2731">
        <f t="shared" si="15"/>
        <v>0</v>
      </c>
      <c r="K101" s="2692"/>
      <c r="L101" s="2692"/>
      <c r="M101" s="2692"/>
      <c r="N101" s="2732">
        <f t="shared" si="16"/>
        <v>0</v>
      </c>
      <c r="O101" s="2692"/>
      <c r="P101" s="2692"/>
      <c r="Q101" s="2692"/>
      <c r="R101" s="2692"/>
      <c r="S101" s="2692"/>
      <c r="T101" s="2692"/>
      <c r="U101" s="2729">
        <f t="shared" si="17"/>
        <v>2650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29">
        <f t="shared" si="15"/>
        <v>1000</v>
      </c>
      <c r="I102" s="2730">
        <f t="shared" si="15"/>
        <v>0</v>
      </c>
      <c r="J102" s="2731">
        <f t="shared" si="15"/>
        <v>0</v>
      </c>
      <c r="K102" s="2692"/>
      <c r="L102" s="2692"/>
      <c r="M102" s="2692"/>
      <c r="N102" s="2732">
        <f t="shared" si="16"/>
        <v>0</v>
      </c>
      <c r="O102" s="2692"/>
      <c r="P102" s="2692"/>
      <c r="Q102" s="2692"/>
      <c r="R102" s="2692"/>
      <c r="S102" s="2692"/>
      <c r="T102" s="2692"/>
      <c r="U102" s="2729">
        <f t="shared" si="17"/>
        <v>2650</v>
      </c>
    </row>
    <row r="103" spans="1:21" x14ac:dyDescent="0.25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29">
        <f t="shared" si="15"/>
        <v>1000</v>
      </c>
      <c r="I103" s="2730">
        <f t="shared" si="15"/>
        <v>0</v>
      </c>
      <c r="J103" s="2731">
        <f t="shared" si="15"/>
        <v>0</v>
      </c>
      <c r="K103" s="2692"/>
      <c r="L103" s="2692"/>
      <c r="M103" s="2692"/>
      <c r="N103" s="2732">
        <f t="shared" si="16"/>
        <v>0</v>
      </c>
      <c r="O103" s="2692"/>
      <c r="P103" s="2692"/>
      <c r="Q103" s="2692"/>
      <c r="R103" s="2692"/>
      <c r="S103" s="2692"/>
      <c r="T103" s="2692"/>
      <c r="U103" s="2729">
        <f t="shared" si="17"/>
        <v>2650</v>
      </c>
    </row>
    <row r="104" spans="1:21" ht="21" x14ac:dyDescent="0.25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29">
        <f>H106</f>
        <v>1000</v>
      </c>
      <c r="I104" s="2730">
        <f>I106</f>
        <v>0</v>
      </c>
      <c r="J104" s="2731">
        <f>J106</f>
        <v>0</v>
      </c>
      <c r="K104" s="2692"/>
      <c r="L104" s="2692"/>
      <c r="M104" s="2692"/>
      <c r="N104" s="2732">
        <f>N106</f>
        <v>0</v>
      </c>
      <c r="O104" s="2692"/>
      <c r="P104" s="2692"/>
      <c r="Q104" s="2692"/>
      <c r="R104" s="2692"/>
      <c r="S104" s="2692"/>
      <c r="T104" s="2692"/>
      <c r="U104" s="2729">
        <f>U106</f>
        <v>2650</v>
      </c>
    </row>
    <row r="105" spans="1:21" x14ac:dyDescent="0.25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29">
        <f t="shared" ref="H105:U105" si="18">H106</f>
        <v>1000</v>
      </c>
      <c r="I105" s="2730">
        <f t="shared" si="18"/>
        <v>0</v>
      </c>
      <c r="J105" s="2731">
        <f t="shared" si="18"/>
        <v>0</v>
      </c>
      <c r="K105" s="2692">
        <f t="shared" si="18"/>
        <v>0</v>
      </c>
      <c r="L105" s="2692">
        <f t="shared" si="18"/>
        <v>0</v>
      </c>
      <c r="M105" s="2692">
        <f t="shared" si="18"/>
        <v>0</v>
      </c>
      <c r="N105" s="2732">
        <f t="shared" si="18"/>
        <v>0</v>
      </c>
      <c r="O105" s="2692">
        <f t="shared" si="18"/>
        <v>0</v>
      </c>
      <c r="P105" s="2692">
        <f t="shared" si="18"/>
        <v>0</v>
      </c>
      <c r="Q105" s="2692">
        <f t="shared" si="18"/>
        <v>0</v>
      </c>
      <c r="R105" s="2692">
        <f t="shared" si="18"/>
        <v>0</v>
      </c>
      <c r="S105" s="2692">
        <f t="shared" si="18"/>
        <v>0</v>
      </c>
      <c r="T105" s="2692">
        <f t="shared" si="18"/>
        <v>0</v>
      </c>
      <c r="U105" s="2729">
        <f t="shared" si="18"/>
        <v>2650</v>
      </c>
    </row>
    <row r="106" spans="1:21" ht="13.5" customHeight="1" x14ac:dyDescent="0.25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29">
        <f>2400-1400</f>
        <v>1000</v>
      </c>
      <c r="I106" s="2730"/>
      <c r="J106" s="2731"/>
      <c r="K106" s="2692"/>
      <c r="L106" s="2692"/>
      <c r="M106" s="2692"/>
      <c r="N106" s="2732">
        <f>2500-2500</f>
        <v>0</v>
      </c>
      <c r="O106" s="2692"/>
      <c r="P106" s="2692"/>
      <c r="Q106" s="2692"/>
      <c r="R106" s="2692"/>
      <c r="S106" s="2692"/>
      <c r="T106" s="2692"/>
      <c r="U106" s="2729">
        <v>2650</v>
      </c>
    </row>
    <row r="107" spans="1:21" x14ac:dyDescent="0.25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33">
        <f>H108+H119</f>
        <v>5228.3371900000002</v>
      </c>
      <c r="I107" s="2734">
        <f>I108+I119</f>
        <v>598.5</v>
      </c>
      <c r="J107" s="2735">
        <f>J108+J119</f>
        <v>598.5</v>
      </c>
      <c r="K107" s="2692"/>
      <c r="L107" s="2692"/>
      <c r="M107" s="2692"/>
      <c r="N107" s="2737">
        <f>N115+N117+N118</f>
        <v>10</v>
      </c>
      <c r="O107" s="2692"/>
      <c r="P107" s="2692"/>
      <c r="Q107" s="2692"/>
      <c r="R107" s="2692"/>
      <c r="S107" s="2692"/>
      <c r="T107" s="2692"/>
      <c r="U107" s="2733">
        <f>U115+U117+U118</f>
        <v>1660</v>
      </c>
    </row>
    <row r="108" spans="1:21" x14ac:dyDescent="0.25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29">
        <f t="shared" ref="H108:J109" si="19">H109</f>
        <v>5228.3371900000002</v>
      </c>
      <c r="I108" s="2730">
        <f t="shared" si="19"/>
        <v>0</v>
      </c>
      <c r="J108" s="2731">
        <f t="shared" si="19"/>
        <v>0</v>
      </c>
      <c r="K108" s="2692"/>
      <c r="L108" s="2692"/>
      <c r="M108" s="2692"/>
      <c r="N108" s="2732">
        <f t="shared" ref="N108:N109" si="20">N109</f>
        <v>0</v>
      </c>
      <c r="O108" s="2692"/>
      <c r="P108" s="2692"/>
      <c r="Q108" s="2692"/>
      <c r="R108" s="2692"/>
      <c r="S108" s="2692"/>
      <c r="T108" s="2692"/>
      <c r="U108" s="2729">
        <f t="shared" ref="U108:U109" si="21">U109</f>
        <v>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29">
        <f t="shared" si="19"/>
        <v>5228.3371900000002</v>
      </c>
      <c r="I109" s="2730">
        <f t="shared" si="19"/>
        <v>0</v>
      </c>
      <c r="J109" s="2731">
        <f t="shared" si="19"/>
        <v>0</v>
      </c>
      <c r="K109" s="2692"/>
      <c r="L109" s="2692"/>
      <c r="M109" s="2692"/>
      <c r="N109" s="2732">
        <f t="shared" si="20"/>
        <v>0</v>
      </c>
      <c r="O109" s="2692"/>
      <c r="P109" s="2692"/>
      <c r="Q109" s="2692"/>
      <c r="R109" s="2692"/>
      <c r="S109" s="2692"/>
      <c r="T109" s="2692"/>
      <c r="U109" s="2729">
        <f t="shared" si="21"/>
        <v>0</v>
      </c>
    </row>
    <row r="110" spans="1:21" x14ac:dyDescent="0.25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29">
        <f>H111</f>
        <v>5228.3371900000002</v>
      </c>
      <c r="I110" s="2730">
        <f>I113</f>
        <v>0</v>
      </c>
      <c r="J110" s="2731">
        <f>J113</f>
        <v>0</v>
      </c>
      <c r="K110" s="2692"/>
      <c r="L110" s="2692"/>
      <c r="M110" s="2692"/>
      <c r="N110" s="2732">
        <f>N113</f>
        <v>0</v>
      </c>
      <c r="O110" s="2692"/>
      <c r="P110" s="2692"/>
      <c r="Q110" s="2692"/>
      <c r="R110" s="2692"/>
      <c r="S110" s="2692"/>
      <c r="T110" s="2692"/>
      <c r="U110" s="2729">
        <f>U113</f>
        <v>0</v>
      </c>
    </row>
    <row r="111" spans="1:21" x14ac:dyDescent="0.25">
      <c r="A111" s="1179"/>
      <c r="B111" s="753" t="s">
        <v>1245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29">
        <f>H113+H115+H117+H118</f>
        <v>5228.3371900000002</v>
      </c>
      <c r="I111" s="2730"/>
      <c r="J111" s="2731"/>
      <c r="K111" s="2692"/>
      <c r="L111" s="2692"/>
      <c r="M111" s="2692"/>
      <c r="N111" s="2732">
        <f>N113+N115+N117+N118</f>
        <v>10</v>
      </c>
      <c r="O111" s="2692"/>
      <c r="P111" s="2692"/>
      <c r="Q111" s="2692"/>
      <c r="R111" s="2692"/>
      <c r="S111" s="2692"/>
      <c r="T111" s="2692"/>
      <c r="U111" s="2729">
        <f>U113+U115+U117+U118</f>
        <v>1660</v>
      </c>
    </row>
    <row r="112" spans="1:21" ht="31.5" x14ac:dyDescent="0.25">
      <c r="A112" s="1179"/>
      <c r="B112" s="1393" t="s">
        <v>1063</v>
      </c>
      <c r="C112" s="1180"/>
      <c r="D112" s="409" t="s">
        <v>456</v>
      </c>
      <c r="E112" s="409" t="s">
        <v>573</v>
      </c>
      <c r="F112" s="409" t="s">
        <v>92</v>
      </c>
      <c r="G112" s="1662" t="s">
        <v>1062</v>
      </c>
      <c r="H112" s="2729">
        <f>H113</f>
        <v>73.470510000000004</v>
      </c>
      <c r="I112" s="2730"/>
      <c r="J112" s="2731"/>
      <c r="K112" s="2692"/>
      <c r="L112" s="2692"/>
      <c r="M112" s="2692"/>
      <c r="N112" s="2732">
        <f>N113</f>
        <v>0</v>
      </c>
      <c r="O112" s="2692"/>
      <c r="P112" s="2692"/>
      <c r="Q112" s="2692"/>
      <c r="R112" s="2692"/>
      <c r="S112" s="2692"/>
      <c r="T112" s="2692"/>
      <c r="U112" s="2729">
        <f>U113</f>
        <v>0</v>
      </c>
    </row>
    <row r="113" spans="1:21" x14ac:dyDescent="0.25">
      <c r="A113" s="1179"/>
      <c r="B113" s="1182" t="s">
        <v>571</v>
      </c>
      <c r="C113" s="1180"/>
      <c r="D113" s="409" t="s">
        <v>456</v>
      </c>
      <c r="E113" s="409" t="s">
        <v>573</v>
      </c>
      <c r="F113" s="409" t="s">
        <v>92</v>
      </c>
      <c r="G113" s="1662" t="s">
        <v>5</v>
      </c>
      <c r="H113" s="2729">
        <v>73.470510000000004</v>
      </c>
      <c r="I113" s="2730">
        <f>I115+I118</f>
        <v>0</v>
      </c>
      <c r="J113" s="2731">
        <f>J115+J118</f>
        <v>0</v>
      </c>
      <c r="K113" s="2692">
        <v>500</v>
      </c>
      <c r="L113" s="2692" t="s">
        <v>959</v>
      </c>
      <c r="M113" s="2692"/>
      <c r="N113" s="2732">
        <v>0</v>
      </c>
      <c r="O113" s="2692"/>
      <c r="P113" s="2692"/>
      <c r="Q113" s="2692"/>
      <c r="R113" s="2692"/>
      <c r="S113" s="2692"/>
      <c r="T113" s="2692"/>
      <c r="U113" s="2729">
        <v>0</v>
      </c>
    </row>
    <row r="114" spans="1:21" x14ac:dyDescent="0.25">
      <c r="A114" s="1179"/>
      <c r="B114" s="753" t="s">
        <v>948</v>
      </c>
      <c r="C114" s="1180"/>
      <c r="D114" s="409" t="s">
        <v>456</v>
      </c>
      <c r="E114" s="409" t="s">
        <v>573</v>
      </c>
      <c r="F114" s="409" t="s">
        <v>92</v>
      </c>
      <c r="G114" s="1662" t="s">
        <v>955</v>
      </c>
      <c r="H114" s="2729">
        <f t="shared" ref="H114:U114" si="22">H115</f>
        <v>1723.19677</v>
      </c>
      <c r="I114" s="2730">
        <f t="shared" si="22"/>
        <v>0</v>
      </c>
      <c r="J114" s="2731">
        <f t="shared" si="22"/>
        <v>0</v>
      </c>
      <c r="K114" s="2692">
        <f t="shared" si="22"/>
        <v>0</v>
      </c>
      <c r="L114" s="2692">
        <f t="shared" si="22"/>
        <v>0</v>
      </c>
      <c r="M114" s="2692">
        <f t="shared" si="22"/>
        <v>0</v>
      </c>
      <c r="N114" s="2732">
        <f t="shared" si="22"/>
        <v>0</v>
      </c>
      <c r="O114" s="2692">
        <f t="shared" si="22"/>
        <v>0</v>
      </c>
      <c r="P114" s="2692">
        <f t="shared" si="22"/>
        <v>0</v>
      </c>
      <c r="Q114" s="2692">
        <f t="shared" si="22"/>
        <v>0</v>
      </c>
      <c r="R114" s="2692">
        <f t="shared" si="22"/>
        <v>0</v>
      </c>
      <c r="S114" s="2692">
        <f t="shared" si="22"/>
        <v>0</v>
      </c>
      <c r="T114" s="2692">
        <f t="shared" si="22"/>
        <v>0</v>
      </c>
      <c r="U114" s="2729">
        <f t="shared" si="22"/>
        <v>1650</v>
      </c>
    </row>
    <row r="115" spans="1:21" ht="21" x14ac:dyDescent="0.25">
      <c r="A115" s="842"/>
      <c r="B115" s="1182" t="s">
        <v>454</v>
      </c>
      <c r="C115" s="1183"/>
      <c r="D115" s="409" t="s">
        <v>456</v>
      </c>
      <c r="E115" s="409" t="s">
        <v>573</v>
      </c>
      <c r="F115" s="409" t="s">
        <v>92</v>
      </c>
      <c r="G115" s="1662" t="s">
        <v>1</v>
      </c>
      <c r="H115" s="2729">
        <f>1500-316.64-189.1916+250+342.8-45.57163+181.8</f>
        <v>1723.19677</v>
      </c>
      <c r="I115" s="2730"/>
      <c r="J115" s="2731"/>
      <c r="K115" s="2692"/>
      <c r="L115" s="2692"/>
      <c r="M115" s="2692"/>
      <c r="N115" s="2732">
        <f>1650-1100-550</f>
        <v>0</v>
      </c>
      <c r="O115" s="2692"/>
      <c r="P115" s="2692"/>
      <c r="Q115" s="2692"/>
      <c r="R115" s="2692"/>
      <c r="S115" s="2692"/>
      <c r="T115" s="2692"/>
      <c r="U115" s="2729">
        <v>1650</v>
      </c>
    </row>
    <row r="116" spans="1:21" x14ac:dyDescent="0.25">
      <c r="A116" s="842"/>
      <c r="B116" s="1182" t="s">
        <v>1068</v>
      </c>
      <c r="C116" s="1183"/>
      <c r="D116" s="409" t="s">
        <v>456</v>
      </c>
      <c r="E116" s="409" t="s">
        <v>573</v>
      </c>
      <c r="F116" s="409" t="s">
        <v>92</v>
      </c>
      <c r="G116" s="1662" t="s">
        <v>1064</v>
      </c>
      <c r="H116" s="2729">
        <f>H117+H118</f>
        <v>3431.6699100000001</v>
      </c>
      <c r="I116" s="2730"/>
      <c r="J116" s="2731"/>
      <c r="K116" s="2692"/>
      <c r="L116" s="2692"/>
      <c r="M116" s="2692"/>
      <c r="N116" s="2732">
        <f t="shared" ref="N116:U116" si="23">N117+N118</f>
        <v>10</v>
      </c>
      <c r="O116" s="2692">
        <f t="shared" si="23"/>
        <v>0</v>
      </c>
      <c r="P116" s="2692">
        <f t="shared" si="23"/>
        <v>0</v>
      </c>
      <c r="Q116" s="2692">
        <f t="shared" si="23"/>
        <v>0</v>
      </c>
      <c r="R116" s="2692">
        <f t="shared" si="23"/>
        <v>0</v>
      </c>
      <c r="S116" s="2692">
        <f t="shared" si="23"/>
        <v>0</v>
      </c>
      <c r="T116" s="2692">
        <f t="shared" si="23"/>
        <v>0</v>
      </c>
      <c r="U116" s="2729">
        <f t="shared" si="23"/>
        <v>10</v>
      </c>
    </row>
    <row r="117" spans="1:21" x14ac:dyDescent="0.25">
      <c r="A117" s="842"/>
      <c r="B117" s="1182" t="s">
        <v>1003</v>
      </c>
      <c r="C117" s="1183"/>
      <c r="D117" s="409" t="s">
        <v>456</v>
      </c>
      <c r="E117" s="409" t="s">
        <v>573</v>
      </c>
      <c r="F117" s="409" t="s">
        <v>92</v>
      </c>
      <c r="G117" s="1662" t="s">
        <v>95</v>
      </c>
      <c r="H117" s="2729">
        <f>100+316.64+189.1916+45.57163+121.92425+195.55587+2434.58656</f>
        <v>3403.4699100000003</v>
      </c>
      <c r="I117" s="2730"/>
      <c r="J117" s="2731"/>
      <c r="K117" s="2692"/>
      <c r="L117" s="2692"/>
      <c r="M117" s="2692"/>
      <c r="N117" s="2732">
        <v>0</v>
      </c>
      <c r="O117" s="2692"/>
      <c r="P117" s="2692"/>
      <c r="Q117" s="2692"/>
      <c r="R117" s="2692"/>
      <c r="S117" s="2692"/>
      <c r="T117" s="2692"/>
      <c r="U117" s="2729">
        <v>0</v>
      </c>
    </row>
    <row r="118" spans="1:21" x14ac:dyDescent="0.25">
      <c r="A118" s="842"/>
      <c r="B118" s="1182" t="s">
        <v>457</v>
      </c>
      <c r="C118" s="1183"/>
      <c r="D118" s="409" t="s">
        <v>456</v>
      </c>
      <c r="E118" s="409" t="s">
        <v>573</v>
      </c>
      <c r="F118" s="409" t="s">
        <v>92</v>
      </c>
      <c r="G118" s="1662" t="s">
        <v>91</v>
      </c>
      <c r="H118" s="2729">
        <f>10+18.2</f>
        <v>28.2</v>
      </c>
      <c r="I118" s="2730"/>
      <c r="J118" s="2731"/>
      <c r="K118" s="2692"/>
      <c r="L118" s="2692"/>
      <c r="M118" s="2692"/>
      <c r="N118" s="2732">
        <v>10</v>
      </c>
      <c r="O118" s="2692"/>
      <c r="P118" s="2692"/>
      <c r="Q118" s="2692"/>
      <c r="R118" s="2692"/>
      <c r="S118" s="2692"/>
      <c r="T118" s="2692"/>
      <c r="U118" s="2729">
        <v>10</v>
      </c>
    </row>
    <row r="119" spans="1:21" ht="21" hidden="1" x14ac:dyDescent="0.25">
      <c r="A119" s="1211"/>
      <c r="B119" s="753" t="s">
        <v>499</v>
      </c>
      <c r="C119" s="1177"/>
      <c r="D119" s="408" t="s">
        <v>456</v>
      </c>
      <c r="E119" s="408" t="s">
        <v>573</v>
      </c>
      <c r="F119" s="409" t="s">
        <v>89</v>
      </c>
      <c r="G119" s="1661"/>
      <c r="H119" s="2733">
        <f t="shared" ref="H119:J120" si="24">H120</f>
        <v>0</v>
      </c>
      <c r="I119" s="2734">
        <f t="shared" si="24"/>
        <v>598.5</v>
      </c>
      <c r="J119" s="2735">
        <f t="shared" si="24"/>
        <v>598.5</v>
      </c>
      <c r="K119" s="2692"/>
      <c r="L119" s="2692"/>
      <c r="M119" s="2692"/>
      <c r="N119" s="2737">
        <f t="shared" ref="N119:N120" si="25">N120</f>
        <v>0</v>
      </c>
      <c r="O119" s="2692"/>
      <c r="P119" s="2692"/>
      <c r="Q119" s="2692"/>
      <c r="R119" s="2692"/>
      <c r="S119" s="2692"/>
      <c r="T119" s="2692"/>
      <c r="U119" s="2733">
        <f t="shared" ref="U119:U120" si="26">U120</f>
        <v>0</v>
      </c>
    </row>
    <row r="120" spans="1:21" hidden="1" x14ac:dyDescent="0.25">
      <c r="A120" s="1179"/>
      <c r="B120" s="753" t="s">
        <v>109</v>
      </c>
      <c r="C120" s="1180"/>
      <c r="D120" s="409" t="s">
        <v>456</v>
      </c>
      <c r="E120" s="409" t="s">
        <v>573</v>
      </c>
      <c r="F120" s="409" t="s">
        <v>84</v>
      </c>
      <c r="G120" s="1662"/>
      <c r="H120" s="2729">
        <f t="shared" si="24"/>
        <v>0</v>
      </c>
      <c r="I120" s="2730">
        <f t="shared" si="24"/>
        <v>598.5</v>
      </c>
      <c r="J120" s="2731">
        <f t="shared" si="24"/>
        <v>598.5</v>
      </c>
      <c r="K120" s="2692"/>
      <c r="L120" s="2692"/>
      <c r="M120" s="2692"/>
      <c r="N120" s="2732">
        <f t="shared" si="25"/>
        <v>0</v>
      </c>
      <c r="O120" s="2692"/>
      <c r="P120" s="2692"/>
      <c r="Q120" s="2692"/>
      <c r="R120" s="2692"/>
      <c r="S120" s="2692"/>
      <c r="T120" s="2692"/>
      <c r="U120" s="2729">
        <f t="shared" si="26"/>
        <v>0</v>
      </c>
    </row>
    <row r="121" spans="1:21" hidden="1" x14ac:dyDescent="0.25">
      <c r="A121" s="1179"/>
      <c r="B121" s="753" t="s">
        <v>109</v>
      </c>
      <c r="C121" s="1180"/>
      <c r="D121" s="409" t="s">
        <v>456</v>
      </c>
      <c r="E121" s="409" t="s">
        <v>573</v>
      </c>
      <c r="F121" s="409" t="s">
        <v>82</v>
      </c>
      <c r="G121" s="1662"/>
      <c r="H121" s="2729">
        <f>H122</f>
        <v>0</v>
      </c>
      <c r="I121" s="2730">
        <f>I126</f>
        <v>598.5</v>
      </c>
      <c r="J121" s="2731">
        <f>J126</f>
        <v>598.5</v>
      </c>
      <c r="K121" s="2692"/>
      <c r="L121" s="2692"/>
      <c r="M121" s="2692"/>
      <c r="N121" s="2732">
        <f>N126</f>
        <v>0</v>
      </c>
      <c r="O121" s="2692"/>
      <c r="P121" s="2692"/>
      <c r="Q121" s="2692"/>
      <c r="R121" s="2692"/>
      <c r="S121" s="2692"/>
      <c r="T121" s="2692"/>
      <c r="U121" s="2729">
        <f>U126</f>
        <v>0</v>
      </c>
    </row>
    <row r="122" spans="1:21" ht="33" hidden="1" customHeight="1" x14ac:dyDescent="0.25">
      <c r="A122" s="1179"/>
      <c r="B122" s="753" t="s">
        <v>1004</v>
      </c>
      <c r="C122" s="1180"/>
      <c r="D122" s="409" t="s">
        <v>456</v>
      </c>
      <c r="E122" s="409" t="s">
        <v>573</v>
      </c>
      <c r="F122" s="409" t="s">
        <v>1005</v>
      </c>
      <c r="G122" s="1662"/>
      <c r="H122" s="2729">
        <f>H123</f>
        <v>0</v>
      </c>
      <c r="I122" s="2730">
        <f>I123</f>
        <v>0</v>
      </c>
      <c r="J122" s="2731">
        <f>J123</f>
        <v>0</v>
      </c>
      <c r="K122" s="2692"/>
      <c r="L122" s="2692"/>
      <c r="M122" s="2692"/>
      <c r="N122" s="2732">
        <f>N123</f>
        <v>0</v>
      </c>
      <c r="O122" s="2692"/>
      <c r="P122" s="2692"/>
      <c r="Q122" s="2692"/>
      <c r="R122" s="2692"/>
      <c r="S122" s="2692"/>
      <c r="T122" s="2692"/>
      <c r="U122" s="2729">
        <f>U123</f>
        <v>0</v>
      </c>
    </row>
    <row r="123" spans="1:21" hidden="1" x14ac:dyDescent="0.25">
      <c r="A123" s="842"/>
      <c r="B123" s="1182" t="s">
        <v>571</v>
      </c>
      <c r="C123" s="1183"/>
      <c r="D123" s="409" t="s">
        <v>456</v>
      </c>
      <c r="E123" s="409" t="s">
        <v>573</v>
      </c>
      <c r="F123" s="409" t="s">
        <v>1005</v>
      </c>
      <c r="G123" s="1662" t="s">
        <v>5</v>
      </c>
      <c r="H123" s="2729"/>
      <c r="I123" s="2730"/>
      <c r="J123" s="2731"/>
      <c r="K123" s="2692"/>
      <c r="L123" s="2692"/>
      <c r="M123" s="2692"/>
      <c r="N123" s="2732"/>
      <c r="O123" s="2692"/>
      <c r="P123" s="2692"/>
      <c r="Q123" s="2692"/>
      <c r="R123" s="2692"/>
      <c r="S123" s="2692"/>
      <c r="T123" s="2692"/>
      <c r="U123" s="2729"/>
    </row>
    <row r="124" spans="1:21" ht="21" hidden="1" x14ac:dyDescent="0.25">
      <c r="A124" s="842"/>
      <c r="B124" s="1199" t="s">
        <v>151</v>
      </c>
      <c r="C124" s="1188"/>
      <c r="D124" s="409" t="s">
        <v>456</v>
      </c>
      <c r="E124" s="409" t="s">
        <v>452</v>
      </c>
      <c r="F124" s="409" t="s">
        <v>150</v>
      </c>
      <c r="G124" s="1662"/>
      <c r="H124" s="2729">
        <f>H125</f>
        <v>0</v>
      </c>
      <c r="I124" s="2730">
        <f>I125</f>
        <v>0</v>
      </c>
      <c r="J124" s="2731">
        <f>J125</f>
        <v>0</v>
      </c>
      <c r="K124" s="2692"/>
      <c r="L124" s="2692"/>
      <c r="M124" s="2692"/>
      <c r="N124" s="2732">
        <f>N125</f>
        <v>0</v>
      </c>
      <c r="O124" s="2692"/>
      <c r="P124" s="2692"/>
      <c r="Q124" s="2692"/>
      <c r="R124" s="2692"/>
      <c r="S124" s="2692"/>
      <c r="T124" s="2692"/>
      <c r="U124" s="2729">
        <f>U125</f>
        <v>0</v>
      </c>
    </row>
    <row r="125" spans="1:21" hidden="1" x14ac:dyDescent="0.25">
      <c r="A125" s="842"/>
      <c r="B125" s="1182" t="s">
        <v>575</v>
      </c>
      <c r="C125" s="1183"/>
      <c r="D125" s="409" t="s">
        <v>456</v>
      </c>
      <c r="E125" s="409" t="s">
        <v>452</v>
      </c>
      <c r="F125" s="409" t="s">
        <v>150</v>
      </c>
      <c r="G125" s="1662" t="s">
        <v>120</v>
      </c>
      <c r="H125" s="2729"/>
      <c r="I125" s="2730"/>
      <c r="J125" s="2731"/>
      <c r="K125" s="2692"/>
      <c r="L125" s="2692"/>
      <c r="M125" s="2692"/>
      <c r="N125" s="2732"/>
      <c r="O125" s="2692"/>
      <c r="P125" s="2692"/>
      <c r="Q125" s="2692"/>
      <c r="R125" s="2692"/>
      <c r="S125" s="2692"/>
      <c r="T125" s="2692"/>
      <c r="U125" s="2729"/>
    </row>
    <row r="126" spans="1:21" ht="52" hidden="1" x14ac:dyDescent="0.25">
      <c r="A126" s="842"/>
      <c r="B126" s="398" t="s">
        <v>574</v>
      </c>
      <c r="C126" s="1188"/>
      <c r="D126" s="409" t="s">
        <v>456</v>
      </c>
      <c r="E126" s="409" t="s">
        <v>573</v>
      </c>
      <c r="F126" s="409" t="s">
        <v>127</v>
      </c>
      <c r="G126" s="1662"/>
      <c r="H126" s="2729">
        <f>H127+H128</f>
        <v>0</v>
      </c>
      <c r="I126" s="2730">
        <f>I127+I128</f>
        <v>598.5</v>
      </c>
      <c r="J126" s="2731">
        <f>J127+J128</f>
        <v>598.5</v>
      </c>
      <c r="K126" s="2692"/>
      <c r="L126" s="2692"/>
      <c r="M126" s="2692"/>
      <c r="N126" s="2732">
        <f>N127+N128</f>
        <v>0</v>
      </c>
      <c r="O126" s="2692"/>
      <c r="P126" s="2692"/>
      <c r="Q126" s="2692"/>
      <c r="R126" s="2692"/>
      <c r="S126" s="2692"/>
      <c r="T126" s="2692"/>
      <c r="U126" s="2729">
        <f>U127+U128</f>
        <v>0</v>
      </c>
    </row>
    <row r="127" spans="1:21" hidden="1" x14ac:dyDescent="0.25">
      <c r="A127" s="842"/>
      <c r="B127" s="1182" t="s">
        <v>571</v>
      </c>
      <c r="C127" s="1183"/>
      <c r="D127" s="409" t="s">
        <v>456</v>
      </c>
      <c r="E127" s="409" t="s">
        <v>573</v>
      </c>
      <c r="F127" s="409" t="s">
        <v>127</v>
      </c>
      <c r="G127" s="1662" t="s">
        <v>5</v>
      </c>
      <c r="H127" s="2729"/>
      <c r="I127" s="2730">
        <v>561.29999999999995</v>
      </c>
      <c r="J127" s="2731">
        <v>561.29999999999995</v>
      </c>
      <c r="K127" s="2692"/>
      <c r="L127" s="2692"/>
      <c r="M127" s="2692"/>
      <c r="N127" s="2732"/>
      <c r="O127" s="2692"/>
      <c r="P127" s="2692"/>
      <c r="Q127" s="2692"/>
      <c r="R127" s="2692"/>
      <c r="S127" s="2692"/>
      <c r="T127" s="2692"/>
      <c r="U127" s="2729"/>
    </row>
    <row r="128" spans="1:21" ht="21" hidden="1" x14ac:dyDescent="0.25">
      <c r="A128" s="842"/>
      <c r="B128" s="1182" t="s">
        <v>454</v>
      </c>
      <c r="C128" s="1183"/>
      <c r="D128" s="409" t="s">
        <v>456</v>
      </c>
      <c r="E128" s="409" t="s">
        <v>573</v>
      </c>
      <c r="F128" s="409" t="s">
        <v>127</v>
      </c>
      <c r="G128" s="1662" t="s">
        <v>1</v>
      </c>
      <c r="H128" s="2729"/>
      <c r="I128" s="2730">
        <v>37.200000000000003</v>
      </c>
      <c r="J128" s="2731">
        <v>37.200000000000003</v>
      </c>
      <c r="K128" s="2692"/>
      <c r="L128" s="2692"/>
      <c r="M128" s="2692"/>
      <c r="N128" s="2732"/>
      <c r="O128" s="2692"/>
      <c r="P128" s="2692"/>
      <c r="Q128" s="2692"/>
      <c r="R128" s="2692"/>
      <c r="S128" s="2692"/>
      <c r="T128" s="2692"/>
      <c r="U128" s="2729"/>
    </row>
    <row r="129" spans="1:28" x14ac:dyDescent="0.25">
      <c r="A129" s="842"/>
      <c r="B129" s="1252" t="s">
        <v>412</v>
      </c>
      <c r="C129" s="1183"/>
      <c r="D129" s="408" t="s">
        <v>488</v>
      </c>
      <c r="E129" s="408" t="s">
        <v>459</v>
      </c>
      <c r="F129" s="409"/>
      <c r="G129" s="1662"/>
      <c r="H129" s="2733">
        <f>H130</f>
        <v>892</v>
      </c>
      <c r="I129" s="2734">
        <f t="shared" ref="I129:J133" si="27">I130</f>
        <v>0</v>
      </c>
      <c r="J129" s="2735">
        <f t="shared" si="27"/>
        <v>0</v>
      </c>
      <c r="K129" s="2692"/>
      <c r="L129" s="2692"/>
      <c r="M129" s="2692"/>
      <c r="N129" s="2737">
        <f>N130</f>
        <v>892</v>
      </c>
      <c r="O129" s="2692"/>
      <c r="P129" s="2692"/>
      <c r="Q129" s="2692"/>
      <c r="R129" s="2692"/>
      <c r="S129" s="2692"/>
      <c r="T129" s="2692"/>
      <c r="U129" s="2733">
        <f>U130</f>
        <v>892</v>
      </c>
      <c r="V129" s="1861">
        <v>834.7</v>
      </c>
      <c r="W129" s="1861">
        <v>844.2</v>
      </c>
      <c r="X129" s="1861">
        <v>874.4</v>
      </c>
      <c r="Y129" s="2248" t="s">
        <v>444</v>
      </c>
    </row>
    <row r="130" spans="1:28" x14ac:dyDescent="0.25">
      <c r="A130" s="842"/>
      <c r="B130" s="1252" t="s">
        <v>6</v>
      </c>
      <c r="C130" s="1183"/>
      <c r="D130" s="408" t="s">
        <v>488</v>
      </c>
      <c r="E130" s="408" t="s">
        <v>495</v>
      </c>
      <c r="F130" s="409"/>
      <c r="G130" s="1662"/>
      <c r="H130" s="2733">
        <f>H131</f>
        <v>892</v>
      </c>
      <c r="I130" s="2734">
        <f t="shared" si="27"/>
        <v>0</v>
      </c>
      <c r="J130" s="2735">
        <f t="shared" si="27"/>
        <v>0</v>
      </c>
      <c r="K130" s="2702">
        <v>727.8</v>
      </c>
      <c r="L130" s="2692"/>
      <c r="M130" s="2692"/>
      <c r="N130" s="2737">
        <f>N131</f>
        <v>892</v>
      </c>
      <c r="O130" s="2692"/>
      <c r="P130" s="2692"/>
      <c r="Q130" s="2692"/>
      <c r="R130" s="2692"/>
      <c r="S130" s="2692"/>
      <c r="T130" s="2692"/>
      <c r="U130" s="2733">
        <f>U131</f>
        <v>892</v>
      </c>
    </row>
    <row r="131" spans="1:28" ht="21" x14ac:dyDescent="0.25">
      <c r="A131" s="842"/>
      <c r="B131" s="753" t="s">
        <v>499</v>
      </c>
      <c r="C131" s="1183"/>
      <c r="D131" s="408" t="s">
        <v>488</v>
      </c>
      <c r="E131" s="408" t="s">
        <v>495</v>
      </c>
      <c r="F131" s="409" t="s">
        <v>89</v>
      </c>
      <c r="G131" s="1662"/>
      <c r="H131" s="2733">
        <f>H132</f>
        <v>892</v>
      </c>
      <c r="I131" s="2734">
        <f t="shared" si="27"/>
        <v>0</v>
      </c>
      <c r="J131" s="2735">
        <f t="shared" si="27"/>
        <v>0</v>
      </c>
      <c r="K131" s="2692"/>
      <c r="L131" s="2692"/>
      <c r="M131" s="2692"/>
      <c r="N131" s="2737">
        <f>N132</f>
        <v>892</v>
      </c>
      <c r="O131" s="2692"/>
      <c r="P131" s="2692"/>
      <c r="Q131" s="2692"/>
      <c r="R131" s="2692"/>
      <c r="S131" s="2692"/>
      <c r="T131" s="2692"/>
      <c r="U131" s="2733">
        <f>U132</f>
        <v>892</v>
      </c>
    </row>
    <row r="132" spans="1:28" x14ac:dyDescent="0.25">
      <c r="A132" s="842"/>
      <c r="B132" s="753" t="s">
        <v>109</v>
      </c>
      <c r="C132" s="1183"/>
      <c r="D132" s="409" t="s">
        <v>488</v>
      </c>
      <c r="E132" s="409" t="s">
        <v>495</v>
      </c>
      <c r="F132" s="409" t="s">
        <v>84</v>
      </c>
      <c r="G132" s="1662"/>
      <c r="H132" s="2729">
        <f>H133</f>
        <v>892</v>
      </c>
      <c r="I132" s="2730">
        <f t="shared" si="27"/>
        <v>0</v>
      </c>
      <c r="J132" s="2731">
        <f t="shared" si="27"/>
        <v>0</v>
      </c>
      <c r="K132" s="2692"/>
      <c r="L132" s="2692"/>
      <c r="M132" s="2692"/>
      <c r="N132" s="2732">
        <f>N133</f>
        <v>892</v>
      </c>
      <c r="O132" s="2692"/>
      <c r="P132" s="2692"/>
      <c r="Q132" s="2692"/>
      <c r="R132" s="2692"/>
      <c r="S132" s="2692"/>
      <c r="T132" s="2692"/>
      <c r="U132" s="2729">
        <f>U133</f>
        <v>892</v>
      </c>
    </row>
    <row r="133" spans="1:28" x14ac:dyDescent="0.25">
      <c r="A133" s="842"/>
      <c r="B133" s="753" t="s">
        <v>109</v>
      </c>
      <c r="C133" s="1183"/>
      <c r="D133" s="409" t="s">
        <v>488</v>
      </c>
      <c r="E133" s="409" t="s">
        <v>495</v>
      </c>
      <c r="F133" s="409" t="s">
        <v>82</v>
      </c>
      <c r="G133" s="1662"/>
      <c r="H133" s="2729">
        <f>H134</f>
        <v>892</v>
      </c>
      <c r="I133" s="2730">
        <f t="shared" si="27"/>
        <v>0</v>
      </c>
      <c r="J133" s="2731">
        <f t="shared" si="27"/>
        <v>0</v>
      </c>
      <c r="K133" s="2692"/>
      <c r="L133" s="2692"/>
      <c r="M133" s="2692"/>
      <c r="N133" s="2732">
        <f>N134</f>
        <v>892</v>
      </c>
      <c r="O133" s="2692"/>
      <c r="P133" s="2692"/>
      <c r="Q133" s="2692"/>
      <c r="R133" s="2692"/>
      <c r="S133" s="2692"/>
      <c r="T133" s="2692"/>
      <c r="U133" s="2729">
        <f>U134</f>
        <v>892</v>
      </c>
    </row>
    <row r="134" spans="1:28" ht="21" x14ac:dyDescent="0.25">
      <c r="A134" s="842"/>
      <c r="B134" s="1213" t="s">
        <v>8</v>
      </c>
      <c r="C134" s="1183"/>
      <c r="D134" s="409" t="s">
        <v>488</v>
      </c>
      <c r="E134" s="409" t="s">
        <v>495</v>
      </c>
      <c r="F134" s="409" t="s">
        <v>2</v>
      </c>
      <c r="G134" s="1662"/>
      <c r="H134" s="2729">
        <f>H136+H138</f>
        <v>892</v>
      </c>
      <c r="I134" s="2730">
        <f>I136+I138</f>
        <v>0</v>
      </c>
      <c r="J134" s="2731">
        <f>J136+J138</f>
        <v>0</v>
      </c>
      <c r="K134" s="2692"/>
      <c r="L134" s="2692"/>
      <c r="M134" s="2692"/>
      <c r="N134" s="2732">
        <f>N136+N138</f>
        <v>892</v>
      </c>
      <c r="O134" s="2692"/>
      <c r="P134" s="2692"/>
      <c r="Q134" s="2692"/>
      <c r="R134" s="2692"/>
      <c r="S134" s="2692"/>
      <c r="T134" s="2692"/>
      <c r="U134" s="2729">
        <f>U136+U138</f>
        <v>892</v>
      </c>
    </row>
    <row r="135" spans="1:28" ht="39" x14ac:dyDescent="0.25">
      <c r="A135" s="842"/>
      <c r="B135" s="49" t="s">
        <v>1063</v>
      </c>
      <c r="C135" s="1183"/>
      <c r="D135" s="409" t="s">
        <v>488</v>
      </c>
      <c r="E135" s="409" t="s">
        <v>495</v>
      </c>
      <c r="F135" s="409" t="s">
        <v>2</v>
      </c>
      <c r="G135" s="1662" t="s">
        <v>1062</v>
      </c>
      <c r="H135" s="2729">
        <f t="shared" ref="H135:U135" si="28">H136</f>
        <v>864.7</v>
      </c>
      <c r="I135" s="2730">
        <f t="shared" si="28"/>
        <v>0</v>
      </c>
      <c r="J135" s="2731">
        <f t="shared" si="28"/>
        <v>0</v>
      </c>
      <c r="K135" s="2692">
        <f t="shared" si="28"/>
        <v>0</v>
      </c>
      <c r="L135" s="2692">
        <f t="shared" si="28"/>
        <v>0</v>
      </c>
      <c r="M135" s="2692">
        <f t="shared" si="28"/>
        <v>0</v>
      </c>
      <c r="N135" s="2732">
        <f t="shared" si="28"/>
        <v>864.7</v>
      </c>
      <c r="O135" s="2692">
        <f t="shared" si="28"/>
        <v>0</v>
      </c>
      <c r="P135" s="2692">
        <f t="shared" si="28"/>
        <v>0</v>
      </c>
      <c r="Q135" s="2692">
        <f t="shared" si="28"/>
        <v>0</v>
      </c>
      <c r="R135" s="2692">
        <f t="shared" si="28"/>
        <v>0</v>
      </c>
      <c r="S135" s="2692">
        <f t="shared" si="28"/>
        <v>0</v>
      </c>
      <c r="T135" s="2692">
        <f t="shared" si="28"/>
        <v>0</v>
      </c>
      <c r="U135" s="2729">
        <f t="shared" si="28"/>
        <v>864.7</v>
      </c>
    </row>
    <row r="136" spans="1:28" x14ac:dyDescent="0.25">
      <c r="A136" s="842"/>
      <c r="B136" s="1182" t="s">
        <v>571</v>
      </c>
      <c r="C136" s="1183"/>
      <c r="D136" s="409" t="s">
        <v>488</v>
      </c>
      <c r="E136" s="409" t="s">
        <v>495</v>
      </c>
      <c r="F136" s="409" t="s">
        <v>2</v>
      </c>
      <c r="G136" s="1662" t="s">
        <v>5</v>
      </c>
      <c r="H136" s="2729">
        <f>800+64.7</f>
        <v>864.7</v>
      </c>
      <c r="I136" s="2730"/>
      <c r="J136" s="2731"/>
      <c r="K136" s="2692"/>
      <c r="L136" s="2692"/>
      <c r="M136" s="2692"/>
      <c r="N136" s="2732">
        <f>830+34.7</f>
        <v>864.7</v>
      </c>
      <c r="O136" s="2692"/>
      <c r="P136" s="2692"/>
      <c r="Q136" s="2692"/>
      <c r="R136" s="2692"/>
      <c r="S136" s="2692"/>
      <c r="T136" s="2692"/>
      <c r="U136" s="2729">
        <v>864.7</v>
      </c>
      <c r="V136" s="2">
        <v>807.12400000000002</v>
      </c>
      <c r="W136" s="2">
        <v>816.62400000000002</v>
      </c>
      <c r="X136" s="2">
        <v>846.82399999999996</v>
      </c>
      <c r="Z136" s="1">
        <v>-42.7</v>
      </c>
      <c r="AA136" s="1">
        <v>-59.6</v>
      </c>
      <c r="AB136" s="1">
        <v>857.3</v>
      </c>
    </row>
    <row r="137" spans="1:28" x14ac:dyDescent="0.25">
      <c r="A137" s="842"/>
      <c r="B137" s="753" t="s">
        <v>948</v>
      </c>
      <c r="C137" s="1183"/>
      <c r="D137" s="409" t="s">
        <v>488</v>
      </c>
      <c r="E137" s="409" t="s">
        <v>495</v>
      </c>
      <c r="F137" s="409" t="s">
        <v>2</v>
      </c>
      <c r="G137" s="1662" t="s">
        <v>955</v>
      </c>
      <c r="H137" s="2729">
        <f t="shared" ref="H137:U137" si="29">H138</f>
        <v>27.3</v>
      </c>
      <c r="I137" s="2730">
        <f t="shared" si="29"/>
        <v>0</v>
      </c>
      <c r="J137" s="2731">
        <f t="shared" si="29"/>
        <v>0</v>
      </c>
      <c r="K137" s="2692">
        <f t="shared" si="29"/>
        <v>0</v>
      </c>
      <c r="L137" s="2692">
        <f t="shared" si="29"/>
        <v>0</v>
      </c>
      <c r="M137" s="2692">
        <f t="shared" si="29"/>
        <v>0</v>
      </c>
      <c r="N137" s="2732">
        <f t="shared" si="29"/>
        <v>27.3</v>
      </c>
      <c r="O137" s="2692">
        <f t="shared" si="29"/>
        <v>0</v>
      </c>
      <c r="P137" s="2692">
        <f t="shared" si="29"/>
        <v>0</v>
      </c>
      <c r="Q137" s="2692">
        <f t="shared" si="29"/>
        <v>0</v>
      </c>
      <c r="R137" s="2692">
        <f t="shared" si="29"/>
        <v>0</v>
      </c>
      <c r="S137" s="2692">
        <f t="shared" si="29"/>
        <v>0</v>
      </c>
      <c r="T137" s="2692">
        <f t="shared" si="29"/>
        <v>0</v>
      </c>
      <c r="U137" s="2729">
        <f t="shared" si="29"/>
        <v>27.3</v>
      </c>
      <c r="V137" s="2"/>
      <c r="W137" s="2"/>
      <c r="X137" s="2"/>
    </row>
    <row r="138" spans="1:28" ht="21" x14ac:dyDescent="0.25">
      <c r="A138" s="842"/>
      <c r="B138" s="1182" t="s">
        <v>454</v>
      </c>
      <c r="C138" s="1183"/>
      <c r="D138" s="409" t="s">
        <v>488</v>
      </c>
      <c r="E138" s="409" t="s">
        <v>495</v>
      </c>
      <c r="F138" s="409" t="s">
        <v>2</v>
      </c>
      <c r="G138" s="1662" t="s">
        <v>1</v>
      </c>
      <c r="H138" s="2729">
        <f>14.8+12.5</f>
        <v>27.3</v>
      </c>
      <c r="I138" s="2730"/>
      <c r="J138" s="2731"/>
      <c r="K138" s="2692"/>
      <c r="L138" s="2692"/>
      <c r="M138" s="2692"/>
      <c r="N138" s="2732">
        <v>27.3</v>
      </c>
      <c r="O138" s="2692"/>
      <c r="P138" s="2692"/>
      <c r="Q138" s="2692"/>
      <c r="R138" s="2692"/>
      <c r="S138" s="2692"/>
      <c r="T138" s="2692"/>
      <c r="U138" s="2729">
        <v>27.3</v>
      </c>
      <c r="V138" s="2"/>
      <c r="W138" s="2"/>
      <c r="X138" s="2">
        <v>27.576000000000001</v>
      </c>
    </row>
    <row r="139" spans="1:28" x14ac:dyDescent="0.25">
      <c r="A139" s="1179"/>
      <c r="B139" s="1214" t="s">
        <v>407</v>
      </c>
      <c r="C139" s="1177"/>
      <c r="D139" s="408" t="s">
        <v>495</v>
      </c>
      <c r="E139" s="408" t="s">
        <v>459</v>
      </c>
      <c r="F139" s="408"/>
      <c r="G139" s="1661"/>
      <c r="H139" s="2733">
        <f>H140+H151+H169</f>
        <v>1081.1889999999999</v>
      </c>
      <c r="I139" s="2734">
        <f>I140</f>
        <v>0</v>
      </c>
      <c r="J139" s="2735">
        <f>J140</f>
        <v>0</v>
      </c>
      <c r="K139" s="2692"/>
      <c r="L139" s="2692"/>
      <c r="M139" s="2692"/>
      <c r="N139" s="2733">
        <f t="shared" ref="N139:U139" si="30">N140+N151+N169</f>
        <v>799.04</v>
      </c>
      <c r="O139" s="2692">
        <f t="shared" si="30"/>
        <v>0</v>
      </c>
      <c r="P139" s="2692">
        <f t="shared" si="30"/>
        <v>0</v>
      </c>
      <c r="Q139" s="2692">
        <f t="shared" si="30"/>
        <v>0</v>
      </c>
      <c r="R139" s="2692">
        <f t="shared" si="30"/>
        <v>0</v>
      </c>
      <c r="S139" s="2692">
        <f t="shared" si="30"/>
        <v>0</v>
      </c>
      <c r="T139" s="2692">
        <f t="shared" si="30"/>
        <v>0</v>
      </c>
      <c r="U139" s="2733">
        <f t="shared" si="30"/>
        <v>808.04</v>
      </c>
    </row>
    <row r="140" spans="1:28" ht="23" x14ac:dyDescent="0.25">
      <c r="A140" s="842"/>
      <c r="B140" s="1184" t="s">
        <v>1206</v>
      </c>
      <c r="C140" s="1177"/>
      <c r="D140" s="408" t="s">
        <v>495</v>
      </c>
      <c r="E140" s="408" t="s">
        <v>496</v>
      </c>
      <c r="F140" s="408"/>
      <c r="G140" s="1661"/>
      <c r="H140" s="2733">
        <f>H141+H164</f>
        <v>1074.1489999999999</v>
      </c>
      <c r="I140" s="2734">
        <f>I141+I172</f>
        <v>0</v>
      </c>
      <c r="J140" s="2735">
        <f>J141+J172</f>
        <v>0</v>
      </c>
      <c r="K140" s="2692"/>
      <c r="L140" s="2692"/>
      <c r="M140" s="2692"/>
      <c r="N140" s="2733">
        <f>N141+N164</f>
        <v>792</v>
      </c>
      <c r="O140" s="2692"/>
      <c r="P140" s="2692"/>
      <c r="Q140" s="2692"/>
      <c r="R140" s="2692"/>
      <c r="S140" s="2692"/>
      <c r="T140" s="2692"/>
      <c r="U140" s="2733">
        <f>U141+U164</f>
        <v>801</v>
      </c>
    </row>
    <row r="141" spans="1:28" ht="21" x14ac:dyDescent="0.25">
      <c r="A141" s="1179"/>
      <c r="B141" s="1205" t="s">
        <v>912</v>
      </c>
      <c r="C141" s="1215"/>
      <c r="D141" s="409" t="s">
        <v>495</v>
      </c>
      <c r="E141" s="409" t="s">
        <v>496</v>
      </c>
      <c r="F141" s="409" t="s">
        <v>240</v>
      </c>
      <c r="G141" s="1662"/>
      <c r="H141" s="2729">
        <f>H142+H159</f>
        <v>1074.1489999999999</v>
      </c>
      <c r="I141" s="2730">
        <f>I142+I159</f>
        <v>0</v>
      </c>
      <c r="J141" s="2731">
        <f>J142+J159</f>
        <v>0</v>
      </c>
      <c r="K141" s="2702">
        <f>K146+K157+K163</f>
        <v>0</v>
      </c>
      <c r="L141" s="2692"/>
      <c r="M141" s="2692"/>
      <c r="N141" s="2732">
        <f t="shared" ref="N141:U141" si="31">N142+N159</f>
        <v>792</v>
      </c>
      <c r="O141" s="2692">
        <f t="shared" si="31"/>
        <v>0</v>
      </c>
      <c r="P141" s="2692">
        <f t="shared" si="31"/>
        <v>0</v>
      </c>
      <c r="Q141" s="2692">
        <f t="shared" si="31"/>
        <v>0</v>
      </c>
      <c r="R141" s="2692">
        <f t="shared" si="31"/>
        <v>0</v>
      </c>
      <c r="S141" s="2692">
        <f t="shared" si="31"/>
        <v>0</v>
      </c>
      <c r="T141" s="2692">
        <f t="shared" si="31"/>
        <v>0</v>
      </c>
      <c r="U141" s="2729">
        <f t="shared" si="31"/>
        <v>801</v>
      </c>
    </row>
    <row r="142" spans="1:28" ht="43" customHeight="1" x14ac:dyDescent="0.25">
      <c r="A142" s="1179"/>
      <c r="B142" s="1216" t="s">
        <v>1213</v>
      </c>
      <c r="C142" s="1215"/>
      <c r="D142" s="1217" t="s">
        <v>495</v>
      </c>
      <c r="E142" s="1217" t="s">
        <v>496</v>
      </c>
      <c r="F142" s="1217" t="s">
        <v>238</v>
      </c>
      <c r="G142" s="1664"/>
      <c r="H142" s="2729">
        <f>H146+H157</f>
        <v>393.14899999999989</v>
      </c>
      <c r="I142" s="2730">
        <f>I143+I154</f>
        <v>0</v>
      </c>
      <c r="J142" s="2731">
        <f>J143+J154</f>
        <v>0</v>
      </c>
      <c r="K142" s="2692"/>
      <c r="L142" s="2692"/>
      <c r="M142" s="2692"/>
      <c r="N142" s="2732">
        <f t="shared" ref="N142:U142" si="32">N146+N157</f>
        <v>550</v>
      </c>
      <c r="O142" s="2692">
        <f t="shared" si="32"/>
        <v>0</v>
      </c>
      <c r="P142" s="2692">
        <f t="shared" si="32"/>
        <v>0</v>
      </c>
      <c r="Q142" s="2692">
        <f t="shared" si="32"/>
        <v>0</v>
      </c>
      <c r="R142" s="2692">
        <f t="shared" si="32"/>
        <v>0</v>
      </c>
      <c r="S142" s="2692">
        <f t="shared" si="32"/>
        <v>0</v>
      </c>
      <c r="T142" s="2692">
        <f t="shared" si="32"/>
        <v>0</v>
      </c>
      <c r="U142" s="2729">
        <f t="shared" si="32"/>
        <v>550</v>
      </c>
    </row>
    <row r="143" spans="1:28" ht="21" x14ac:dyDescent="0.25">
      <c r="A143" s="1179"/>
      <c r="B143" s="1197" t="s">
        <v>236</v>
      </c>
      <c r="C143" s="1215"/>
      <c r="D143" s="1217" t="s">
        <v>495</v>
      </c>
      <c r="E143" s="1217" t="s">
        <v>496</v>
      </c>
      <c r="F143" s="1217" t="s">
        <v>235</v>
      </c>
      <c r="G143" s="1664"/>
      <c r="H143" s="2729">
        <f>H144+H147+H149</f>
        <v>303.14899999999989</v>
      </c>
      <c r="I143" s="2730">
        <f>I144+I147+I149</f>
        <v>0</v>
      </c>
      <c r="J143" s="2731">
        <f>J144+J147+J149</f>
        <v>0</v>
      </c>
      <c r="K143" s="2692"/>
      <c r="L143" s="2692"/>
      <c r="M143" s="2692"/>
      <c r="N143" s="2732">
        <f t="shared" ref="N143:U143" si="33">N144+N147+N149</f>
        <v>230</v>
      </c>
      <c r="O143" s="2692">
        <f t="shared" si="33"/>
        <v>0</v>
      </c>
      <c r="P143" s="2692">
        <f t="shared" si="33"/>
        <v>0</v>
      </c>
      <c r="Q143" s="2692">
        <f t="shared" si="33"/>
        <v>0</v>
      </c>
      <c r="R143" s="2692">
        <f t="shared" si="33"/>
        <v>0</v>
      </c>
      <c r="S143" s="2692">
        <f t="shared" si="33"/>
        <v>0</v>
      </c>
      <c r="T143" s="2692">
        <f t="shared" si="33"/>
        <v>0</v>
      </c>
      <c r="U143" s="2729">
        <f t="shared" si="33"/>
        <v>230</v>
      </c>
    </row>
    <row r="144" spans="1:28" ht="21" x14ac:dyDescent="0.25">
      <c r="A144" s="1179"/>
      <c r="B144" s="1218" t="s">
        <v>237</v>
      </c>
      <c r="C144" s="1215"/>
      <c r="D144" s="1217" t="s">
        <v>495</v>
      </c>
      <c r="E144" s="1217" t="s">
        <v>496</v>
      </c>
      <c r="F144" s="1217" t="s">
        <v>233</v>
      </c>
      <c r="G144" s="1664"/>
      <c r="H144" s="2729">
        <f>H146</f>
        <v>303.14899999999989</v>
      </c>
      <c r="I144" s="2730">
        <f>I146</f>
        <v>0</v>
      </c>
      <c r="J144" s="2731">
        <f>J146</f>
        <v>0</v>
      </c>
      <c r="K144" s="2692"/>
      <c r="L144" s="2692"/>
      <c r="M144" s="2692"/>
      <c r="N144" s="2732">
        <f>N146</f>
        <v>230</v>
      </c>
      <c r="O144" s="2692"/>
      <c r="P144" s="2692"/>
      <c r="Q144" s="2692"/>
      <c r="R144" s="2692"/>
      <c r="S144" s="2692"/>
      <c r="T144" s="2692"/>
      <c r="U144" s="2729">
        <f>U146</f>
        <v>230</v>
      </c>
    </row>
    <row r="145" spans="1:21" x14ac:dyDescent="0.25">
      <c r="A145" s="1179"/>
      <c r="B145" s="753" t="s">
        <v>948</v>
      </c>
      <c r="C145" s="1215"/>
      <c r="D145" s="1217" t="s">
        <v>495</v>
      </c>
      <c r="E145" s="1217" t="s">
        <v>496</v>
      </c>
      <c r="F145" s="1217" t="s">
        <v>233</v>
      </c>
      <c r="G145" s="1664" t="s">
        <v>955</v>
      </c>
      <c r="H145" s="2729">
        <f t="shared" ref="H145:U145" si="34">H146</f>
        <v>303.14899999999989</v>
      </c>
      <c r="I145" s="2730">
        <f t="shared" si="34"/>
        <v>0</v>
      </c>
      <c r="J145" s="2731">
        <f t="shared" si="34"/>
        <v>0</v>
      </c>
      <c r="K145" s="2692">
        <f t="shared" si="34"/>
        <v>0</v>
      </c>
      <c r="L145" s="2692">
        <f t="shared" si="34"/>
        <v>0</v>
      </c>
      <c r="M145" s="2692">
        <f t="shared" si="34"/>
        <v>0</v>
      </c>
      <c r="N145" s="2732">
        <f t="shared" si="34"/>
        <v>230</v>
      </c>
      <c r="O145" s="2692">
        <f t="shared" si="34"/>
        <v>0</v>
      </c>
      <c r="P145" s="2692">
        <f t="shared" si="34"/>
        <v>0</v>
      </c>
      <c r="Q145" s="2692">
        <f t="shared" si="34"/>
        <v>0</v>
      </c>
      <c r="R145" s="2692">
        <f t="shared" si="34"/>
        <v>0</v>
      </c>
      <c r="S145" s="2692">
        <f t="shared" si="34"/>
        <v>0</v>
      </c>
      <c r="T145" s="2692">
        <f t="shared" si="34"/>
        <v>0</v>
      </c>
      <c r="U145" s="2729">
        <f t="shared" si="34"/>
        <v>230</v>
      </c>
    </row>
    <row r="146" spans="1:21" ht="21" x14ac:dyDescent="0.25">
      <c r="A146" s="1179"/>
      <c r="B146" s="1182" t="s">
        <v>454</v>
      </c>
      <c r="C146" s="1183"/>
      <c r="D146" s="1217" t="s">
        <v>495</v>
      </c>
      <c r="E146" s="1217" t="s">
        <v>496</v>
      </c>
      <c r="F146" s="1217" t="s">
        <v>233</v>
      </c>
      <c r="G146" s="1662" t="s">
        <v>1</v>
      </c>
      <c r="H146" s="2729">
        <f>1326.82-754.671-269</f>
        <v>303.14899999999989</v>
      </c>
      <c r="I146" s="2730"/>
      <c r="J146" s="2731"/>
      <c r="K146" s="2692"/>
      <c r="L146" s="2692"/>
      <c r="M146" s="2692"/>
      <c r="N146" s="2732">
        <v>230</v>
      </c>
      <c r="O146" s="2692"/>
      <c r="P146" s="2692"/>
      <c r="Q146" s="2692"/>
      <c r="R146" s="2692"/>
      <c r="S146" s="2692"/>
      <c r="T146" s="2692"/>
      <c r="U146" s="2729">
        <v>230</v>
      </c>
    </row>
    <row r="147" spans="1:21" hidden="1" x14ac:dyDescent="0.25">
      <c r="A147" s="1179"/>
      <c r="B147" s="1219" t="s">
        <v>568</v>
      </c>
      <c r="C147" s="1215"/>
      <c r="D147" s="1217" t="s">
        <v>495</v>
      </c>
      <c r="E147" s="1217" t="s">
        <v>539</v>
      </c>
      <c r="F147" s="1217" t="s">
        <v>233</v>
      </c>
      <c r="G147" s="1664" t="s">
        <v>91</v>
      </c>
      <c r="H147" s="2729"/>
      <c r="I147" s="2730">
        <f>I148</f>
        <v>0</v>
      </c>
      <c r="J147" s="2731">
        <f>J148</f>
        <v>0</v>
      </c>
      <c r="K147" s="2692"/>
      <c r="L147" s="2692"/>
      <c r="M147" s="2692"/>
      <c r="N147" s="2732">
        <f>N148</f>
        <v>0</v>
      </c>
      <c r="O147" s="2692"/>
      <c r="P147" s="2692"/>
      <c r="Q147" s="2692"/>
      <c r="R147" s="2692"/>
      <c r="S147" s="2692"/>
      <c r="T147" s="2692"/>
      <c r="U147" s="2729">
        <f>U148</f>
        <v>0</v>
      </c>
    </row>
    <row r="148" spans="1:21" ht="21" hidden="1" x14ac:dyDescent="0.25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567</v>
      </c>
      <c r="G148" s="1662" t="s">
        <v>1</v>
      </c>
      <c r="H148" s="2729"/>
      <c r="I148" s="2730"/>
      <c r="J148" s="2731"/>
      <c r="K148" s="2692"/>
      <c r="L148" s="2692"/>
      <c r="M148" s="2692"/>
      <c r="N148" s="2732"/>
      <c r="O148" s="2692"/>
      <c r="P148" s="2692"/>
      <c r="Q148" s="2692"/>
      <c r="R148" s="2692"/>
      <c r="S148" s="2692"/>
      <c r="T148" s="2692"/>
      <c r="U148" s="2729"/>
    </row>
    <row r="149" spans="1:21" hidden="1" x14ac:dyDescent="0.25">
      <c r="A149" s="1179"/>
      <c r="B149" s="1219" t="s">
        <v>566</v>
      </c>
      <c r="C149" s="1215"/>
      <c r="D149" s="1217" t="s">
        <v>495</v>
      </c>
      <c r="E149" s="1217" t="s">
        <v>539</v>
      </c>
      <c r="F149" s="1217" t="s">
        <v>565</v>
      </c>
      <c r="G149" s="1664"/>
      <c r="H149" s="2729">
        <f>H150</f>
        <v>0</v>
      </c>
      <c r="I149" s="2730">
        <f>I150</f>
        <v>0</v>
      </c>
      <c r="J149" s="2731">
        <f>J150</f>
        <v>0</v>
      </c>
      <c r="K149" s="2692"/>
      <c r="L149" s="2692"/>
      <c r="M149" s="2692"/>
      <c r="N149" s="2732">
        <f>N150</f>
        <v>0</v>
      </c>
      <c r="O149" s="2692"/>
      <c r="P149" s="2692"/>
      <c r="Q149" s="2692"/>
      <c r="R149" s="2692"/>
      <c r="S149" s="2692"/>
      <c r="T149" s="2692"/>
      <c r="U149" s="2729">
        <f>U150</f>
        <v>0</v>
      </c>
    </row>
    <row r="150" spans="1:21" ht="21" hidden="1" x14ac:dyDescent="0.25">
      <c r="A150" s="1179"/>
      <c r="B150" s="1182" t="s">
        <v>454</v>
      </c>
      <c r="C150" s="1183"/>
      <c r="D150" s="1217" t="s">
        <v>495</v>
      </c>
      <c r="E150" s="1217" t="s">
        <v>539</v>
      </c>
      <c r="F150" s="1217" t="s">
        <v>565</v>
      </c>
      <c r="G150" s="1662" t="s">
        <v>1</v>
      </c>
      <c r="H150" s="2729"/>
      <c r="I150" s="2730"/>
      <c r="J150" s="2731"/>
      <c r="K150" s="2692"/>
      <c r="L150" s="2692"/>
      <c r="M150" s="2692"/>
      <c r="N150" s="2732"/>
      <c r="O150" s="2692"/>
      <c r="P150" s="2692"/>
      <c r="Q150" s="2692"/>
      <c r="R150" s="2692"/>
      <c r="S150" s="2692"/>
      <c r="T150" s="2692"/>
      <c r="U150" s="2729"/>
    </row>
    <row r="151" spans="1:21" ht="26" hidden="1" x14ac:dyDescent="0.3">
      <c r="A151" s="1179"/>
      <c r="B151" s="336" t="s">
        <v>1206</v>
      </c>
      <c r="C151" s="1183"/>
      <c r="D151" s="408" t="s">
        <v>495</v>
      </c>
      <c r="E151" s="408" t="s">
        <v>496</v>
      </c>
      <c r="F151" s="1217"/>
      <c r="G151" s="1662"/>
      <c r="H151" s="2733">
        <f>H152</f>
        <v>0</v>
      </c>
      <c r="I151" s="2730"/>
      <c r="J151" s="2731"/>
      <c r="K151" s="2692"/>
      <c r="L151" s="2692"/>
      <c r="M151" s="2692"/>
      <c r="N151" s="2732">
        <f t="shared" ref="N151:U151" si="35">N152</f>
        <v>0</v>
      </c>
      <c r="O151" s="2692">
        <f t="shared" si="35"/>
        <v>0</v>
      </c>
      <c r="P151" s="2692">
        <f t="shared" si="35"/>
        <v>0</v>
      </c>
      <c r="Q151" s="2692">
        <f t="shared" si="35"/>
        <v>0</v>
      </c>
      <c r="R151" s="2692">
        <f t="shared" si="35"/>
        <v>0</v>
      </c>
      <c r="S151" s="2692">
        <f t="shared" si="35"/>
        <v>0</v>
      </c>
      <c r="T151" s="2692">
        <f t="shared" si="35"/>
        <v>0</v>
      </c>
      <c r="U151" s="2729">
        <f t="shared" si="35"/>
        <v>0</v>
      </c>
    </row>
    <row r="152" spans="1:21" ht="21" hidden="1" x14ac:dyDescent="0.25">
      <c r="A152" s="1179"/>
      <c r="B152" s="1205" t="s">
        <v>912</v>
      </c>
      <c r="C152" s="1183"/>
      <c r="D152" s="1217" t="s">
        <v>495</v>
      </c>
      <c r="E152" s="1217" t="s">
        <v>496</v>
      </c>
      <c r="F152" s="409" t="s">
        <v>240</v>
      </c>
      <c r="G152" s="1662"/>
      <c r="H152" s="2729"/>
      <c r="I152" s="2730"/>
      <c r="J152" s="2731"/>
      <c r="K152" s="2692"/>
      <c r="L152" s="2692"/>
      <c r="M152" s="2692"/>
      <c r="N152" s="2732"/>
      <c r="O152" s="2692"/>
      <c r="P152" s="2692"/>
      <c r="Q152" s="2692"/>
      <c r="R152" s="2692"/>
      <c r="S152" s="2692"/>
      <c r="T152" s="2692"/>
      <c r="U152" s="2729"/>
    </row>
    <row r="153" spans="1:21" ht="42" hidden="1" x14ac:dyDescent="0.25">
      <c r="A153" s="1179"/>
      <c r="B153" s="1216" t="s">
        <v>926</v>
      </c>
      <c r="C153" s="1183"/>
      <c r="D153" s="1217" t="s">
        <v>495</v>
      </c>
      <c r="E153" s="1217" t="s">
        <v>496</v>
      </c>
      <c r="F153" s="1217" t="s">
        <v>238</v>
      </c>
      <c r="G153" s="1662"/>
      <c r="H153" s="2729"/>
      <c r="I153" s="2730"/>
      <c r="J153" s="2731"/>
      <c r="K153" s="2692"/>
      <c r="L153" s="2692"/>
      <c r="M153" s="2692"/>
      <c r="N153" s="2732"/>
      <c r="O153" s="2692"/>
      <c r="P153" s="2692"/>
      <c r="Q153" s="2692"/>
      <c r="R153" s="2692"/>
      <c r="S153" s="2692"/>
      <c r="T153" s="2692"/>
      <c r="U153" s="2729"/>
    </row>
    <row r="154" spans="1:21" x14ac:dyDescent="0.25">
      <c r="A154" s="1179"/>
      <c r="B154" s="1219" t="s">
        <v>564</v>
      </c>
      <c r="C154" s="1215"/>
      <c r="D154" s="1217" t="s">
        <v>495</v>
      </c>
      <c r="E154" s="1217" t="s">
        <v>496</v>
      </c>
      <c r="F154" s="1217" t="s">
        <v>231</v>
      </c>
      <c r="G154" s="1664"/>
      <c r="H154" s="2729">
        <f>H155</f>
        <v>90</v>
      </c>
      <c r="I154" s="2730">
        <f>I155</f>
        <v>0</v>
      </c>
      <c r="J154" s="2731">
        <f>J155</f>
        <v>0</v>
      </c>
      <c r="K154" s="2692"/>
      <c r="L154" s="2692"/>
      <c r="M154" s="2692"/>
      <c r="N154" s="2732">
        <f>N155</f>
        <v>320</v>
      </c>
      <c r="O154" s="2692"/>
      <c r="P154" s="2692"/>
      <c r="Q154" s="2692"/>
      <c r="R154" s="2692"/>
      <c r="S154" s="2692"/>
      <c r="T154" s="2692"/>
      <c r="U154" s="2729">
        <f>U155</f>
        <v>320</v>
      </c>
    </row>
    <row r="155" spans="1:21" x14ac:dyDescent="0.25">
      <c r="A155" s="1179"/>
      <c r="B155" s="1117" t="s">
        <v>563</v>
      </c>
      <c r="C155" s="1188"/>
      <c r="D155" s="409" t="s">
        <v>495</v>
      </c>
      <c r="E155" s="409" t="s">
        <v>496</v>
      </c>
      <c r="F155" s="1217" t="s">
        <v>229</v>
      </c>
      <c r="G155" s="1664"/>
      <c r="H155" s="2729">
        <f>H157+H158</f>
        <v>90</v>
      </c>
      <c r="I155" s="2730">
        <f>I157+I158</f>
        <v>0</v>
      </c>
      <c r="J155" s="2731">
        <f>J157+J158</f>
        <v>0</v>
      </c>
      <c r="K155" s="2692"/>
      <c r="L155" s="2692"/>
      <c r="M155" s="2692"/>
      <c r="N155" s="2732">
        <f>N157+N158</f>
        <v>320</v>
      </c>
      <c r="O155" s="2692"/>
      <c r="P155" s="2692"/>
      <c r="Q155" s="2692"/>
      <c r="R155" s="2692"/>
      <c r="S155" s="2692"/>
      <c r="T155" s="2692"/>
      <c r="U155" s="2729">
        <f>U157+U158</f>
        <v>320</v>
      </c>
    </row>
    <row r="156" spans="1:21" x14ac:dyDescent="0.25">
      <c r="A156" s="1179"/>
      <c r="B156" s="753" t="s">
        <v>948</v>
      </c>
      <c r="C156" s="1188"/>
      <c r="D156" s="409" t="s">
        <v>495</v>
      </c>
      <c r="E156" s="409" t="s">
        <v>496</v>
      </c>
      <c r="F156" s="1217" t="s">
        <v>229</v>
      </c>
      <c r="G156" s="1664" t="s">
        <v>955</v>
      </c>
      <c r="H156" s="2729">
        <f t="shared" ref="H156:U156" si="36">H157</f>
        <v>90</v>
      </c>
      <c r="I156" s="2730">
        <f t="shared" si="36"/>
        <v>0</v>
      </c>
      <c r="J156" s="2731">
        <f t="shared" si="36"/>
        <v>0</v>
      </c>
      <c r="K156" s="2692">
        <f t="shared" si="36"/>
        <v>0</v>
      </c>
      <c r="L156" s="2692">
        <f t="shared" si="36"/>
        <v>0</v>
      </c>
      <c r="M156" s="2692">
        <f t="shared" si="36"/>
        <v>0</v>
      </c>
      <c r="N156" s="2732">
        <f t="shared" si="36"/>
        <v>320</v>
      </c>
      <c r="O156" s="2692">
        <f t="shared" si="36"/>
        <v>0</v>
      </c>
      <c r="P156" s="2692">
        <f t="shared" si="36"/>
        <v>0</v>
      </c>
      <c r="Q156" s="2692">
        <f t="shared" si="36"/>
        <v>0</v>
      </c>
      <c r="R156" s="2692">
        <f t="shared" si="36"/>
        <v>0</v>
      </c>
      <c r="S156" s="2692">
        <f t="shared" si="36"/>
        <v>0</v>
      </c>
      <c r="T156" s="2692">
        <f t="shared" si="36"/>
        <v>0</v>
      </c>
      <c r="U156" s="2729">
        <f t="shared" si="36"/>
        <v>320</v>
      </c>
    </row>
    <row r="157" spans="1:21" ht="21" x14ac:dyDescent="0.25">
      <c r="A157" s="1179"/>
      <c r="B157" s="1182" t="s">
        <v>454</v>
      </c>
      <c r="C157" s="1183"/>
      <c r="D157" s="409" t="s">
        <v>495</v>
      </c>
      <c r="E157" s="409" t="s">
        <v>496</v>
      </c>
      <c r="F157" s="1217" t="s">
        <v>229</v>
      </c>
      <c r="G157" s="1664">
        <v>240</v>
      </c>
      <c r="H157" s="2729">
        <f>270-60-120</f>
        <v>90</v>
      </c>
      <c r="I157" s="2730"/>
      <c r="J157" s="2731"/>
      <c r="K157" s="2692"/>
      <c r="L157" s="2692"/>
      <c r="M157" s="2692"/>
      <c r="N157" s="2732">
        <v>320</v>
      </c>
      <c r="O157" s="2692"/>
      <c r="P157" s="2692"/>
      <c r="Q157" s="2692"/>
      <c r="R157" s="2692"/>
      <c r="S157" s="2692"/>
      <c r="T157" s="2692"/>
      <c r="U157" s="2729">
        <v>320</v>
      </c>
    </row>
    <row r="158" spans="1:21" ht="21" hidden="1" x14ac:dyDescent="0.25">
      <c r="A158" s="1179"/>
      <c r="B158" s="1183" t="s">
        <v>562</v>
      </c>
      <c r="C158" s="1183"/>
      <c r="D158" s="409" t="s">
        <v>495</v>
      </c>
      <c r="E158" s="409" t="s">
        <v>496</v>
      </c>
      <c r="F158" s="1217" t="s">
        <v>229</v>
      </c>
      <c r="G158" s="1664" t="s">
        <v>561</v>
      </c>
      <c r="H158" s="2729"/>
      <c r="I158" s="2730"/>
      <c r="J158" s="2731"/>
      <c r="K158" s="2692"/>
      <c r="L158" s="2692"/>
      <c r="M158" s="2692"/>
      <c r="N158" s="2732"/>
      <c r="O158" s="2692"/>
      <c r="P158" s="2692"/>
      <c r="Q158" s="2692"/>
      <c r="R158" s="2692"/>
      <c r="S158" s="2692"/>
      <c r="T158" s="2692"/>
      <c r="U158" s="2729"/>
    </row>
    <row r="159" spans="1:21" x14ac:dyDescent="0.25">
      <c r="A159" s="1179"/>
      <c r="B159" s="1219" t="s">
        <v>560</v>
      </c>
      <c r="C159" s="1215"/>
      <c r="D159" s="1217" t="s">
        <v>495</v>
      </c>
      <c r="E159" s="1217" t="s">
        <v>496</v>
      </c>
      <c r="F159" s="1217" t="s">
        <v>227</v>
      </c>
      <c r="G159" s="1664"/>
      <c r="H159" s="2729">
        <f>H160</f>
        <v>681</v>
      </c>
      <c r="I159" s="2730">
        <f>I160</f>
        <v>0</v>
      </c>
      <c r="J159" s="2731">
        <f>J160</f>
        <v>0</v>
      </c>
      <c r="K159" s="2692"/>
      <c r="L159" s="2692"/>
      <c r="M159" s="2692"/>
      <c r="N159" s="2732">
        <f>N160</f>
        <v>242</v>
      </c>
      <c r="O159" s="2692"/>
      <c r="P159" s="2692"/>
      <c r="Q159" s="2692"/>
      <c r="R159" s="2692"/>
      <c r="S159" s="2692"/>
      <c r="T159" s="2692"/>
      <c r="U159" s="2729">
        <f>U160</f>
        <v>251</v>
      </c>
    </row>
    <row r="160" spans="1:21" ht="21" x14ac:dyDescent="0.25">
      <c r="A160" s="1179"/>
      <c r="B160" s="1219" t="s">
        <v>559</v>
      </c>
      <c r="C160" s="1215"/>
      <c r="D160" s="1217" t="s">
        <v>495</v>
      </c>
      <c r="E160" s="1217" t="s">
        <v>496</v>
      </c>
      <c r="F160" s="1217" t="s">
        <v>225</v>
      </c>
      <c r="G160" s="1664"/>
      <c r="H160" s="2729">
        <f>H161</f>
        <v>681</v>
      </c>
      <c r="I160" s="2730">
        <f>I161+I169</f>
        <v>0</v>
      </c>
      <c r="J160" s="2731">
        <f>J161+J169</f>
        <v>0</v>
      </c>
      <c r="K160" s="2692"/>
      <c r="L160" s="2692"/>
      <c r="M160" s="2692"/>
      <c r="N160" s="2732">
        <f>N161</f>
        <v>242</v>
      </c>
      <c r="O160" s="2692"/>
      <c r="P160" s="2692"/>
      <c r="Q160" s="2692"/>
      <c r="R160" s="2692"/>
      <c r="S160" s="2692"/>
      <c r="T160" s="2692"/>
      <c r="U160" s="2729">
        <f>U161</f>
        <v>251</v>
      </c>
    </row>
    <row r="161" spans="1:25" x14ac:dyDescent="0.25">
      <c r="A161" s="1179"/>
      <c r="B161" s="1863" t="s">
        <v>224</v>
      </c>
      <c r="C161" s="1188"/>
      <c r="D161" s="1217" t="s">
        <v>495</v>
      </c>
      <c r="E161" s="1217" t="s">
        <v>496</v>
      </c>
      <c r="F161" s="1217" t="s">
        <v>220</v>
      </c>
      <c r="G161" s="1664"/>
      <c r="H161" s="2729">
        <f>H163</f>
        <v>681</v>
      </c>
      <c r="I161" s="2730">
        <f>I163</f>
        <v>0</v>
      </c>
      <c r="J161" s="2731">
        <f>J163</f>
        <v>0</v>
      </c>
      <c r="K161" s="2692"/>
      <c r="L161" s="2692"/>
      <c r="M161" s="2692"/>
      <c r="N161" s="2732">
        <f>N163</f>
        <v>242</v>
      </c>
      <c r="O161" s="2692"/>
      <c r="P161" s="2692"/>
      <c r="Q161" s="2692"/>
      <c r="R161" s="2692"/>
      <c r="S161" s="2692"/>
      <c r="T161" s="2692"/>
      <c r="U161" s="2729">
        <f>U163</f>
        <v>251</v>
      </c>
    </row>
    <row r="162" spans="1:25" x14ac:dyDescent="0.25">
      <c r="A162" s="1179"/>
      <c r="B162" s="753" t="s">
        <v>948</v>
      </c>
      <c r="C162" s="1188"/>
      <c r="D162" s="1217" t="s">
        <v>495</v>
      </c>
      <c r="E162" s="1217" t="s">
        <v>496</v>
      </c>
      <c r="F162" s="1217" t="s">
        <v>220</v>
      </c>
      <c r="G162" s="1664" t="s">
        <v>955</v>
      </c>
      <c r="H162" s="2729">
        <f t="shared" ref="H162:U162" si="37">H163</f>
        <v>681</v>
      </c>
      <c r="I162" s="2730">
        <f t="shared" si="37"/>
        <v>0</v>
      </c>
      <c r="J162" s="2731">
        <f t="shared" si="37"/>
        <v>0</v>
      </c>
      <c r="K162" s="2692">
        <f t="shared" si="37"/>
        <v>0</v>
      </c>
      <c r="L162" s="2692">
        <f t="shared" si="37"/>
        <v>0</v>
      </c>
      <c r="M162" s="2692">
        <f t="shared" si="37"/>
        <v>0</v>
      </c>
      <c r="N162" s="2732">
        <f t="shared" si="37"/>
        <v>242</v>
      </c>
      <c r="O162" s="2692">
        <f t="shared" si="37"/>
        <v>0</v>
      </c>
      <c r="P162" s="2692">
        <f t="shared" si="37"/>
        <v>0</v>
      </c>
      <c r="Q162" s="2692">
        <f t="shared" si="37"/>
        <v>0</v>
      </c>
      <c r="R162" s="2692">
        <f t="shared" si="37"/>
        <v>0</v>
      </c>
      <c r="S162" s="2692">
        <f t="shared" si="37"/>
        <v>0</v>
      </c>
      <c r="T162" s="2692">
        <f t="shared" si="37"/>
        <v>0</v>
      </c>
      <c r="U162" s="2729">
        <f t="shared" si="37"/>
        <v>251</v>
      </c>
    </row>
    <row r="163" spans="1:25" ht="21" x14ac:dyDescent="0.25">
      <c r="A163" s="1179"/>
      <c r="B163" s="1182" t="s">
        <v>454</v>
      </c>
      <c r="C163" s="1183"/>
      <c r="D163" s="1217" t="s">
        <v>495</v>
      </c>
      <c r="E163" s="1217" t="s">
        <v>496</v>
      </c>
      <c r="F163" s="1217" t="s">
        <v>220</v>
      </c>
      <c r="G163" s="1662" t="s">
        <v>1</v>
      </c>
      <c r="H163" s="2729">
        <f>232+269+60+120</f>
        <v>681</v>
      </c>
      <c r="I163" s="2730"/>
      <c r="J163" s="2731"/>
      <c r="K163" s="2692"/>
      <c r="L163" s="2692"/>
      <c r="M163" s="2692"/>
      <c r="N163" s="2732">
        <v>242</v>
      </c>
      <c r="O163" s="2692"/>
      <c r="P163" s="2692"/>
      <c r="Q163" s="2692"/>
      <c r="R163" s="2692"/>
      <c r="S163" s="2692"/>
      <c r="T163" s="2692"/>
      <c r="U163" s="2729">
        <v>251</v>
      </c>
    </row>
    <row r="164" spans="1:25" ht="21" hidden="1" x14ac:dyDescent="0.25">
      <c r="A164" s="1179"/>
      <c r="B164" s="753" t="s">
        <v>499</v>
      </c>
      <c r="C164" s="1183"/>
      <c r="D164" s="1217" t="s">
        <v>495</v>
      </c>
      <c r="E164" s="1217" t="s">
        <v>539</v>
      </c>
      <c r="F164" s="409" t="s">
        <v>89</v>
      </c>
      <c r="G164" s="1662"/>
      <c r="H164" s="2729">
        <f>H165</f>
        <v>0</v>
      </c>
      <c r="I164" s="2730"/>
      <c r="J164" s="2731"/>
      <c r="K164" s="2692"/>
      <c r="L164" s="2692"/>
      <c r="M164" s="2692"/>
      <c r="N164" s="2732"/>
      <c r="O164" s="2692"/>
      <c r="P164" s="2692"/>
      <c r="Q164" s="2692"/>
      <c r="R164" s="2692"/>
      <c r="S164" s="2692"/>
      <c r="T164" s="2692"/>
      <c r="U164" s="2729"/>
    </row>
    <row r="165" spans="1:25" hidden="1" x14ac:dyDescent="0.25">
      <c r="A165" s="1179"/>
      <c r="B165" s="753" t="s">
        <v>109</v>
      </c>
      <c r="C165" s="1183"/>
      <c r="D165" s="1217" t="s">
        <v>495</v>
      </c>
      <c r="E165" s="1217" t="s">
        <v>539</v>
      </c>
      <c r="F165" s="409" t="s">
        <v>84</v>
      </c>
      <c r="G165" s="1662"/>
      <c r="H165" s="2729">
        <f>H166</f>
        <v>0</v>
      </c>
      <c r="I165" s="2730"/>
      <c r="J165" s="2731"/>
      <c r="K165" s="2692"/>
      <c r="L165" s="2692"/>
      <c r="M165" s="2692"/>
      <c r="N165" s="2732"/>
      <c r="O165" s="2692"/>
      <c r="P165" s="2692"/>
      <c r="Q165" s="2692"/>
      <c r="R165" s="2692"/>
      <c r="S165" s="2692"/>
      <c r="T165" s="2692"/>
      <c r="U165" s="2729"/>
    </row>
    <row r="166" spans="1:25" hidden="1" x14ac:dyDescent="0.25">
      <c r="A166" s="1179"/>
      <c r="B166" s="753" t="s">
        <v>109</v>
      </c>
      <c r="C166" s="1183"/>
      <c r="D166" s="1217" t="s">
        <v>495</v>
      </c>
      <c r="E166" s="1217" t="s">
        <v>539</v>
      </c>
      <c r="F166" s="409" t="s">
        <v>82</v>
      </c>
      <c r="G166" s="1662"/>
      <c r="H166" s="2729">
        <f>H167</f>
        <v>0</v>
      </c>
      <c r="I166" s="2730"/>
      <c r="J166" s="2731"/>
      <c r="K166" s="2692"/>
      <c r="L166" s="2692"/>
      <c r="M166" s="2692"/>
      <c r="N166" s="2732"/>
      <c r="O166" s="2692"/>
      <c r="P166" s="2692"/>
      <c r="Q166" s="2692"/>
      <c r="R166" s="2692"/>
      <c r="S166" s="2692"/>
      <c r="T166" s="2692"/>
      <c r="U166" s="2729"/>
    </row>
    <row r="167" spans="1:25" ht="25.5" hidden="1" customHeight="1" x14ac:dyDescent="0.25">
      <c r="A167" s="1179"/>
      <c r="B167" s="1182" t="s">
        <v>237</v>
      </c>
      <c r="C167" s="1183"/>
      <c r="D167" s="1217" t="s">
        <v>495</v>
      </c>
      <c r="E167" s="1217" t="s">
        <v>539</v>
      </c>
      <c r="F167" s="1217" t="s">
        <v>1006</v>
      </c>
      <c r="G167" s="1662"/>
      <c r="H167" s="2729">
        <f>H168</f>
        <v>0</v>
      </c>
      <c r="I167" s="2730"/>
      <c r="J167" s="2731"/>
      <c r="K167" s="2692"/>
      <c r="L167" s="2692"/>
      <c r="M167" s="2692"/>
      <c r="N167" s="2732"/>
      <c r="O167" s="2692"/>
      <c r="P167" s="2692"/>
      <c r="Q167" s="2692"/>
      <c r="R167" s="2692"/>
      <c r="S167" s="2692"/>
      <c r="T167" s="2692"/>
      <c r="U167" s="2729"/>
    </row>
    <row r="168" spans="1:25" hidden="1" x14ac:dyDescent="0.25">
      <c r="A168" s="1179"/>
      <c r="B168" s="1182" t="s">
        <v>457</v>
      </c>
      <c r="C168" s="1183"/>
      <c r="D168" s="1217" t="s">
        <v>495</v>
      </c>
      <c r="E168" s="1217" t="s">
        <v>539</v>
      </c>
      <c r="F168" s="1217" t="s">
        <v>1006</v>
      </c>
      <c r="G168" s="1662" t="s">
        <v>91</v>
      </c>
      <c r="H168" s="2729"/>
      <c r="I168" s="2730"/>
      <c r="J168" s="2731"/>
      <c r="K168" s="2692"/>
      <c r="L168" s="2692"/>
      <c r="M168" s="2692"/>
      <c r="N168" s="2732"/>
      <c r="O168" s="2692"/>
      <c r="P168" s="2692"/>
      <c r="Q168" s="2692"/>
      <c r="R168" s="2692"/>
      <c r="S168" s="2692"/>
      <c r="T168" s="2692"/>
      <c r="U168" s="2729"/>
    </row>
    <row r="169" spans="1:25" ht="27" customHeight="1" x14ac:dyDescent="0.25">
      <c r="A169" s="1179"/>
      <c r="B169" s="1214" t="s">
        <v>833</v>
      </c>
      <c r="C169" s="1188"/>
      <c r="D169" s="1221" t="s">
        <v>495</v>
      </c>
      <c r="E169" s="1221" t="s">
        <v>832</v>
      </c>
      <c r="F169" s="408"/>
      <c r="G169" s="1769"/>
      <c r="H169" s="2733">
        <f>H171</f>
        <v>7.04</v>
      </c>
      <c r="I169" s="2730">
        <f>I171</f>
        <v>0</v>
      </c>
      <c r="J169" s="2731">
        <f>J171</f>
        <v>0</v>
      </c>
      <c r="K169" s="2692"/>
      <c r="L169" s="2692"/>
      <c r="M169" s="2692"/>
      <c r="N169" s="2737">
        <f>N171</f>
        <v>7.04</v>
      </c>
      <c r="O169" s="2692"/>
      <c r="P169" s="2692"/>
      <c r="Q169" s="2692"/>
      <c r="R169" s="2692"/>
      <c r="S169" s="2692"/>
      <c r="T169" s="2692"/>
      <c r="U169" s="2733">
        <f>U171</f>
        <v>7.04</v>
      </c>
      <c r="V169" s="1861">
        <v>7.1</v>
      </c>
      <c r="W169" s="1861">
        <v>7.1</v>
      </c>
      <c r="X169" s="1861">
        <v>7.1</v>
      </c>
      <c r="Y169" s="2248" t="s">
        <v>444</v>
      </c>
    </row>
    <row r="170" spans="1:25" ht="26.25" customHeight="1" x14ac:dyDescent="0.25">
      <c r="A170" s="1179"/>
      <c r="B170" s="753" t="s">
        <v>583</v>
      </c>
      <c r="C170" s="1188"/>
      <c r="D170" s="1217" t="s">
        <v>495</v>
      </c>
      <c r="E170" s="1217" t="s">
        <v>832</v>
      </c>
      <c r="F170" s="409" t="s">
        <v>157</v>
      </c>
      <c r="G170" s="1664"/>
      <c r="H170" s="2729">
        <f>H171</f>
        <v>7.04</v>
      </c>
      <c r="I170" s="2730"/>
      <c r="J170" s="2731"/>
      <c r="K170" s="2692"/>
      <c r="L170" s="2692"/>
      <c r="M170" s="2692"/>
      <c r="N170" s="2732">
        <f>N171</f>
        <v>7.04</v>
      </c>
      <c r="O170" s="2692"/>
      <c r="P170" s="2692"/>
      <c r="Q170" s="2692"/>
      <c r="R170" s="2692"/>
      <c r="S170" s="2692"/>
      <c r="T170" s="2692"/>
      <c r="U170" s="2729">
        <f>U171</f>
        <v>7.04</v>
      </c>
    </row>
    <row r="171" spans="1:25" ht="27.75" customHeight="1" x14ac:dyDescent="0.25">
      <c r="A171" s="1179"/>
      <c r="B171" s="1197" t="s">
        <v>156</v>
      </c>
      <c r="C171" s="1183"/>
      <c r="D171" s="1217" t="s">
        <v>495</v>
      </c>
      <c r="E171" s="1217" t="s">
        <v>832</v>
      </c>
      <c r="F171" s="409" t="s">
        <v>155</v>
      </c>
      <c r="G171" s="1662"/>
      <c r="H171" s="2729">
        <f>H172</f>
        <v>7.04</v>
      </c>
      <c r="I171" s="2730"/>
      <c r="J171" s="2731"/>
      <c r="K171" s="2692"/>
      <c r="L171" s="2692"/>
      <c r="M171" s="2692"/>
      <c r="N171" s="2732">
        <f>N172</f>
        <v>7.04</v>
      </c>
      <c r="O171" s="2692"/>
      <c r="P171" s="2692"/>
      <c r="Q171" s="2692"/>
      <c r="R171" s="2692"/>
      <c r="S171" s="2692"/>
      <c r="T171" s="2692"/>
      <c r="U171" s="2729">
        <f>U172</f>
        <v>7.04</v>
      </c>
    </row>
    <row r="172" spans="1:25" x14ac:dyDescent="0.25">
      <c r="A172" s="842"/>
      <c r="B172" s="1219" t="s">
        <v>109</v>
      </c>
      <c r="C172" s="1222"/>
      <c r="D172" s="409" t="s">
        <v>495</v>
      </c>
      <c r="E172" s="409" t="s">
        <v>832</v>
      </c>
      <c r="F172" s="409" t="s">
        <v>154</v>
      </c>
      <c r="G172" s="1662"/>
      <c r="H172" s="2729">
        <f>H173</f>
        <v>7.04</v>
      </c>
      <c r="I172" s="2734">
        <f t="shared" ref="I172:J173" si="38">I173</f>
        <v>0</v>
      </c>
      <c r="J172" s="2735">
        <f t="shared" si="38"/>
        <v>0</v>
      </c>
      <c r="K172" s="2692"/>
      <c r="L172" s="2692"/>
      <c r="M172" s="2692"/>
      <c r="N172" s="2732">
        <f>N173</f>
        <v>7.04</v>
      </c>
      <c r="O172" s="2692"/>
      <c r="P172" s="2692"/>
      <c r="Q172" s="2692"/>
      <c r="R172" s="2692"/>
      <c r="S172" s="2692"/>
      <c r="T172" s="2692"/>
      <c r="U172" s="2729">
        <f>U173</f>
        <v>7.04</v>
      </c>
    </row>
    <row r="173" spans="1:25" ht="31.5" x14ac:dyDescent="0.25">
      <c r="A173" s="1179"/>
      <c r="B173" s="1219" t="s">
        <v>834</v>
      </c>
      <c r="C173" s="1223"/>
      <c r="D173" s="409" t="s">
        <v>495</v>
      </c>
      <c r="E173" s="409" t="s">
        <v>832</v>
      </c>
      <c r="F173" s="409" t="s">
        <v>127</v>
      </c>
      <c r="G173" s="1662"/>
      <c r="H173" s="2729">
        <f>H174+H176</f>
        <v>7.04</v>
      </c>
      <c r="I173" s="2730">
        <f t="shared" si="38"/>
        <v>0</v>
      </c>
      <c r="J173" s="2731">
        <f t="shared" si="38"/>
        <v>0</v>
      </c>
      <c r="K173" s="2702">
        <f>K174+K176</f>
        <v>0</v>
      </c>
      <c r="L173" s="2692"/>
      <c r="M173" s="2692"/>
      <c r="N173" s="2732">
        <f>N174+N176</f>
        <v>7.04</v>
      </c>
      <c r="O173" s="2692"/>
      <c r="P173" s="2692"/>
      <c r="Q173" s="2692"/>
      <c r="R173" s="2692"/>
      <c r="S173" s="2692"/>
      <c r="T173" s="2692"/>
      <c r="U173" s="2729">
        <f>U174+U176</f>
        <v>7.04</v>
      </c>
    </row>
    <row r="174" spans="1:25" hidden="1" x14ac:dyDescent="0.25">
      <c r="A174" s="842"/>
      <c r="B174" s="753" t="s">
        <v>571</v>
      </c>
      <c r="C174" s="1224"/>
      <c r="D174" s="1217" t="s">
        <v>495</v>
      </c>
      <c r="E174" s="1217" t="s">
        <v>832</v>
      </c>
      <c r="F174" s="409" t="s">
        <v>127</v>
      </c>
      <c r="G174" s="1662" t="s">
        <v>5</v>
      </c>
      <c r="H174" s="2729"/>
      <c r="I174" s="2730"/>
      <c r="J174" s="2731"/>
      <c r="K174" s="2692"/>
      <c r="L174" s="2692"/>
      <c r="M174" s="2692"/>
      <c r="N174" s="2732"/>
      <c r="O174" s="2692"/>
      <c r="P174" s="2692"/>
      <c r="Q174" s="2692"/>
      <c r="R174" s="2692"/>
      <c r="S174" s="2692"/>
      <c r="T174" s="2692"/>
      <c r="U174" s="2729"/>
    </row>
    <row r="175" spans="1:25" x14ac:dyDescent="0.25">
      <c r="A175" s="842"/>
      <c r="B175" s="753" t="s">
        <v>948</v>
      </c>
      <c r="C175" s="1224"/>
      <c r="D175" s="1217" t="s">
        <v>495</v>
      </c>
      <c r="E175" s="1217" t="s">
        <v>832</v>
      </c>
      <c r="F175" s="409" t="s">
        <v>127</v>
      </c>
      <c r="G175" s="1662" t="s">
        <v>955</v>
      </c>
      <c r="H175" s="2729">
        <f t="shared" ref="H175:U175" si="39">H176</f>
        <v>7.04</v>
      </c>
      <c r="I175" s="2730">
        <f t="shared" si="39"/>
        <v>0</v>
      </c>
      <c r="J175" s="2731">
        <f t="shared" si="39"/>
        <v>0</v>
      </c>
      <c r="K175" s="2692">
        <f t="shared" si="39"/>
        <v>0</v>
      </c>
      <c r="L175" s="2692">
        <f t="shared" si="39"/>
        <v>0</v>
      </c>
      <c r="M175" s="2692">
        <f t="shared" si="39"/>
        <v>0</v>
      </c>
      <c r="N175" s="2732">
        <f t="shared" si="39"/>
        <v>7.04</v>
      </c>
      <c r="O175" s="2692">
        <f t="shared" si="39"/>
        <v>0</v>
      </c>
      <c r="P175" s="2692">
        <f t="shared" si="39"/>
        <v>0</v>
      </c>
      <c r="Q175" s="2692">
        <f t="shared" si="39"/>
        <v>0</v>
      </c>
      <c r="R175" s="2692">
        <f t="shared" si="39"/>
        <v>0</v>
      </c>
      <c r="S175" s="2692">
        <f t="shared" si="39"/>
        <v>0</v>
      </c>
      <c r="T175" s="2692">
        <f t="shared" si="39"/>
        <v>0</v>
      </c>
      <c r="U175" s="2729">
        <f t="shared" si="39"/>
        <v>7.04</v>
      </c>
    </row>
    <row r="176" spans="1:25" ht="21" x14ac:dyDescent="0.25">
      <c r="A176" s="1179"/>
      <c r="B176" s="1182" t="s">
        <v>454</v>
      </c>
      <c r="C176" s="1183"/>
      <c r="D176" s="1217" t="s">
        <v>495</v>
      </c>
      <c r="E176" s="1217" t="s">
        <v>832</v>
      </c>
      <c r="F176" s="409" t="s">
        <v>127</v>
      </c>
      <c r="G176" s="1662" t="s">
        <v>1</v>
      </c>
      <c r="H176" s="2729">
        <f>7.1-0.06</f>
        <v>7.04</v>
      </c>
      <c r="I176" s="2730"/>
      <c r="J176" s="2731"/>
      <c r="K176" s="2692"/>
      <c r="L176" s="2692"/>
      <c r="M176" s="2692"/>
      <c r="N176" s="2732">
        <f>7.1-0.06</f>
        <v>7.04</v>
      </c>
      <c r="O176" s="2692"/>
      <c r="P176" s="2692"/>
      <c r="Q176" s="2692"/>
      <c r="R176" s="2692"/>
      <c r="S176" s="2692"/>
      <c r="T176" s="2692"/>
      <c r="U176" s="2729">
        <f>7.1-0.06</f>
        <v>7.04</v>
      </c>
      <c r="V176" s="1861">
        <v>7.1</v>
      </c>
      <c r="W176" s="1861">
        <v>7.1</v>
      </c>
      <c r="X176" s="1861">
        <v>7.1</v>
      </c>
    </row>
    <row r="177" spans="1:21" x14ac:dyDescent="0.25">
      <c r="A177" s="1179"/>
      <c r="B177" s="1225" t="s">
        <v>396</v>
      </c>
      <c r="C177" s="1226"/>
      <c r="D177" s="1227" t="s">
        <v>452</v>
      </c>
      <c r="E177" s="1227" t="s">
        <v>459</v>
      </c>
      <c r="F177" s="1227"/>
      <c r="G177" s="1665"/>
      <c r="H177" s="2738">
        <f>H191+H231+H178</f>
        <v>17484.83077</v>
      </c>
      <c r="I177" s="2739">
        <f>I191+I231</f>
        <v>0</v>
      </c>
      <c r="J177" s="2740">
        <f>J191+J231</f>
        <v>0</v>
      </c>
      <c r="K177" s="2692"/>
      <c r="L177" s="2692"/>
      <c r="M177" s="2692"/>
      <c r="N177" s="2741">
        <f>N191+N231+N178</f>
        <v>29776.451440000001</v>
      </c>
      <c r="O177" s="2692"/>
      <c r="P177" s="2692"/>
      <c r="Q177" s="2692"/>
      <c r="R177" s="2692"/>
      <c r="S177" s="2692"/>
      <c r="T177" s="2692"/>
      <c r="U177" s="2738">
        <f>U191+U231+U178</f>
        <v>4072.7755000000002</v>
      </c>
    </row>
    <row r="178" spans="1:21" hidden="1" x14ac:dyDescent="0.25">
      <c r="A178" s="1179"/>
      <c r="B178" s="1225" t="s">
        <v>1161</v>
      </c>
      <c r="C178" s="1226"/>
      <c r="D178" s="408" t="s">
        <v>452</v>
      </c>
      <c r="E178" s="408" t="s">
        <v>463</v>
      </c>
      <c r="F178" s="1227"/>
      <c r="G178" s="1665"/>
      <c r="H178" s="2738">
        <f>H184+H190</f>
        <v>0</v>
      </c>
      <c r="I178" s="2739"/>
      <c r="J178" s="2740"/>
      <c r="K178" s="2692"/>
      <c r="L178" s="2692"/>
      <c r="M178" s="2692"/>
      <c r="N178" s="2741">
        <f>N184+N190</f>
        <v>0</v>
      </c>
      <c r="O178" s="2692"/>
      <c r="P178" s="2692"/>
      <c r="Q178" s="2692"/>
      <c r="R178" s="2692"/>
      <c r="S178" s="2692"/>
      <c r="T178" s="2692"/>
      <c r="U178" s="2738">
        <f>U184+U190</f>
        <v>0</v>
      </c>
    </row>
    <row r="179" spans="1:21" ht="21" hidden="1" x14ac:dyDescent="0.25">
      <c r="A179" s="1179"/>
      <c r="B179" s="1205" t="s">
        <v>1211</v>
      </c>
      <c r="C179" s="1226"/>
      <c r="D179" s="409" t="s">
        <v>452</v>
      </c>
      <c r="E179" s="409" t="s">
        <v>463</v>
      </c>
      <c r="F179" s="409" t="s">
        <v>1162</v>
      </c>
      <c r="G179" s="1665"/>
      <c r="H179" s="2742">
        <f>H184+H190</f>
        <v>0</v>
      </c>
      <c r="I179" s="2739"/>
      <c r="J179" s="2740"/>
      <c r="K179" s="2692"/>
      <c r="L179" s="2692"/>
      <c r="M179" s="2692"/>
      <c r="N179" s="2743">
        <f>N184+N190</f>
        <v>0</v>
      </c>
      <c r="O179" s="2692"/>
      <c r="P179" s="2692"/>
      <c r="Q179" s="2692"/>
      <c r="R179" s="2692"/>
      <c r="S179" s="2692"/>
      <c r="T179" s="2692"/>
      <c r="U179" s="2742">
        <f>U184+U190</f>
        <v>0</v>
      </c>
    </row>
    <row r="180" spans="1:21" ht="21" hidden="1" x14ac:dyDescent="0.25">
      <c r="A180" s="1179"/>
      <c r="B180" s="1247" t="s">
        <v>1166</v>
      </c>
      <c r="C180" s="1226"/>
      <c r="D180" s="409" t="s">
        <v>452</v>
      </c>
      <c r="E180" s="409" t="s">
        <v>463</v>
      </c>
      <c r="F180" s="409" t="s">
        <v>1163</v>
      </c>
      <c r="G180" s="1665"/>
      <c r="H180" s="2742">
        <f>H181</f>
        <v>0</v>
      </c>
      <c r="I180" s="2739"/>
      <c r="J180" s="2740"/>
      <c r="K180" s="2692"/>
      <c r="L180" s="2692"/>
      <c r="M180" s="2692"/>
      <c r="N180" s="2743">
        <f>N181</f>
        <v>0</v>
      </c>
      <c r="O180" s="2692"/>
      <c r="P180" s="2692"/>
      <c r="Q180" s="2692"/>
      <c r="R180" s="2692"/>
      <c r="S180" s="2692"/>
      <c r="T180" s="2692"/>
      <c r="U180" s="2742">
        <f>U181</f>
        <v>0</v>
      </c>
    </row>
    <row r="181" spans="1:21" ht="21" hidden="1" x14ac:dyDescent="0.25">
      <c r="A181" s="1179"/>
      <c r="B181" s="1247" t="s">
        <v>1167</v>
      </c>
      <c r="C181" s="1226"/>
      <c r="D181" s="409" t="s">
        <v>452</v>
      </c>
      <c r="E181" s="409" t="s">
        <v>463</v>
      </c>
      <c r="F181" s="409" t="s">
        <v>1164</v>
      </c>
      <c r="G181" s="1665"/>
      <c r="H181" s="2742">
        <f>H182</f>
        <v>0</v>
      </c>
      <c r="I181" s="2739"/>
      <c r="J181" s="2740"/>
      <c r="K181" s="2692"/>
      <c r="L181" s="2692"/>
      <c r="M181" s="2692"/>
      <c r="N181" s="2743">
        <f>N182</f>
        <v>0</v>
      </c>
      <c r="O181" s="2692"/>
      <c r="P181" s="2692"/>
      <c r="Q181" s="2692"/>
      <c r="R181" s="2692"/>
      <c r="S181" s="2692"/>
      <c r="T181" s="2692"/>
      <c r="U181" s="2742">
        <f>U182</f>
        <v>0</v>
      </c>
    </row>
    <row r="182" spans="1:21" hidden="1" x14ac:dyDescent="0.25">
      <c r="A182" s="1179"/>
      <c r="B182" s="1247" t="s">
        <v>1168</v>
      </c>
      <c r="C182" s="1226"/>
      <c r="D182" s="409" t="s">
        <v>452</v>
      </c>
      <c r="E182" s="409" t="s">
        <v>463</v>
      </c>
      <c r="F182" s="409" t="s">
        <v>1165</v>
      </c>
      <c r="G182" s="1665"/>
      <c r="H182" s="2742">
        <f>H183</f>
        <v>0</v>
      </c>
      <c r="I182" s="2739"/>
      <c r="J182" s="2740"/>
      <c r="K182" s="2692"/>
      <c r="L182" s="2692"/>
      <c r="M182" s="2692"/>
      <c r="N182" s="2743">
        <f>N183</f>
        <v>0</v>
      </c>
      <c r="O182" s="2692"/>
      <c r="P182" s="2692"/>
      <c r="Q182" s="2692"/>
      <c r="R182" s="2692"/>
      <c r="S182" s="2692"/>
      <c r="T182" s="2692"/>
      <c r="U182" s="2742">
        <f>U183</f>
        <v>0</v>
      </c>
    </row>
    <row r="183" spans="1:21" hidden="1" x14ac:dyDescent="0.25">
      <c r="A183" s="1179"/>
      <c r="B183" s="753" t="s">
        <v>948</v>
      </c>
      <c r="C183" s="1226"/>
      <c r="D183" s="409" t="s">
        <v>452</v>
      </c>
      <c r="E183" s="409" t="s">
        <v>463</v>
      </c>
      <c r="F183" s="409" t="s">
        <v>1165</v>
      </c>
      <c r="G183" s="1662" t="s">
        <v>955</v>
      </c>
      <c r="H183" s="2742">
        <f>H184</f>
        <v>0</v>
      </c>
      <c r="I183" s="2739"/>
      <c r="J183" s="2740"/>
      <c r="K183" s="2692"/>
      <c r="L183" s="2692"/>
      <c r="M183" s="2692"/>
      <c r="N183" s="2743">
        <f>N184</f>
        <v>0</v>
      </c>
      <c r="O183" s="2692"/>
      <c r="P183" s="2692"/>
      <c r="Q183" s="2692"/>
      <c r="R183" s="2692"/>
      <c r="S183" s="2692"/>
      <c r="T183" s="2692"/>
      <c r="U183" s="2742">
        <f>U184</f>
        <v>0</v>
      </c>
    </row>
    <row r="184" spans="1:21" ht="21" hidden="1" x14ac:dyDescent="0.25">
      <c r="A184" s="1179"/>
      <c r="B184" s="1182" t="s">
        <v>454</v>
      </c>
      <c r="C184" s="1226"/>
      <c r="D184" s="409" t="s">
        <v>452</v>
      </c>
      <c r="E184" s="409" t="s">
        <v>463</v>
      </c>
      <c r="F184" s="409" t="s">
        <v>1165</v>
      </c>
      <c r="G184" s="1662" t="s">
        <v>1</v>
      </c>
      <c r="H184" s="2742"/>
      <c r="I184" s="2739"/>
      <c r="J184" s="2740"/>
      <c r="K184" s="2692"/>
      <c r="L184" s="2692"/>
      <c r="M184" s="2692"/>
      <c r="N184" s="2743">
        <v>0</v>
      </c>
      <c r="O184" s="2692"/>
      <c r="P184" s="2692"/>
      <c r="Q184" s="2692"/>
      <c r="R184" s="2692"/>
      <c r="S184" s="2692"/>
      <c r="T184" s="2692"/>
      <c r="U184" s="2742">
        <v>0</v>
      </c>
    </row>
    <row r="185" spans="1:21" ht="21" hidden="1" customHeight="1" x14ac:dyDescent="0.25">
      <c r="A185" s="1179"/>
      <c r="B185" s="753" t="s">
        <v>499</v>
      </c>
      <c r="C185" s="1226"/>
      <c r="D185" s="409" t="s">
        <v>452</v>
      </c>
      <c r="E185" s="409" t="s">
        <v>463</v>
      </c>
      <c r="F185" s="409" t="s">
        <v>89</v>
      </c>
      <c r="G185" s="1662"/>
      <c r="H185" s="2742">
        <f>H186</f>
        <v>0</v>
      </c>
      <c r="I185" s="2739"/>
      <c r="J185" s="2740"/>
      <c r="K185" s="2692"/>
      <c r="L185" s="2692"/>
      <c r="M185" s="2692"/>
      <c r="N185" s="2743">
        <f>N186</f>
        <v>0</v>
      </c>
      <c r="O185" s="2692"/>
      <c r="P185" s="2692"/>
      <c r="Q185" s="2692"/>
      <c r="R185" s="2692"/>
      <c r="S185" s="2692"/>
      <c r="T185" s="2692"/>
      <c r="U185" s="2742">
        <f>U186</f>
        <v>0</v>
      </c>
    </row>
    <row r="186" spans="1:21" ht="21" hidden="1" customHeight="1" x14ac:dyDescent="0.25">
      <c r="A186" s="1179"/>
      <c r="B186" s="753" t="s">
        <v>109</v>
      </c>
      <c r="C186" s="1226"/>
      <c r="D186" s="409" t="s">
        <v>452</v>
      </c>
      <c r="E186" s="409" t="s">
        <v>463</v>
      </c>
      <c r="F186" s="409" t="s">
        <v>84</v>
      </c>
      <c r="G186" s="1662"/>
      <c r="H186" s="2742">
        <f>H187</f>
        <v>0</v>
      </c>
      <c r="I186" s="2744"/>
      <c r="J186" s="2745"/>
      <c r="K186" s="2692"/>
      <c r="L186" s="2692"/>
      <c r="M186" s="2692"/>
      <c r="N186" s="2743">
        <f>N187</f>
        <v>0</v>
      </c>
      <c r="O186" s="2692"/>
      <c r="P186" s="2692"/>
      <c r="Q186" s="2692"/>
      <c r="R186" s="2692"/>
      <c r="S186" s="2692"/>
      <c r="T186" s="2692"/>
      <c r="U186" s="2742">
        <f>U187</f>
        <v>0</v>
      </c>
    </row>
    <row r="187" spans="1:21" ht="21" hidden="1" customHeight="1" x14ac:dyDescent="0.25">
      <c r="A187" s="1179"/>
      <c r="B187" s="753" t="s">
        <v>109</v>
      </c>
      <c r="C187" s="1226"/>
      <c r="D187" s="409" t="s">
        <v>452</v>
      </c>
      <c r="E187" s="409" t="s">
        <v>463</v>
      </c>
      <c r="F187" s="409" t="s">
        <v>82</v>
      </c>
      <c r="G187" s="1662"/>
      <c r="H187" s="2742">
        <f>H189</f>
        <v>0</v>
      </c>
      <c r="I187" s="2744"/>
      <c r="J187" s="2745"/>
      <c r="K187" s="2692"/>
      <c r="L187" s="2692"/>
      <c r="M187" s="2692"/>
      <c r="N187" s="2743">
        <f>N189</f>
        <v>0</v>
      </c>
      <c r="O187" s="2692"/>
      <c r="P187" s="2692"/>
      <c r="Q187" s="2692"/>
      <c r="R187" s="2692"/>
      <c r="S187" s="2692"/>
      <c r="T187" s="2692"/>
      <c r="U187" s="2742">
        <f>U189</f>
        <v>0</v>
      </c>
    </row>
    <row r="188" spans="1:21" ht="21" hidden="1" customHeight="1" x14ac:dyDescent="0.25">
      <c r="A188" s="1179"/>
      <c r="B188" s="753" t="s">
        <v>1168</v>
      </c>
      <c r="C188" s="1226"/>
      <c r="D188" s="409" t="s">
        <v>452</v>
      </c>
      <c r="E188" s="409" t="s">
        <v>463</v>
      </c>
      <c r="F188" s="409" t="s">
        <v>1231</v>
      </c>
      <c r="G188" s="1662"/>
      <c r="H188" s="2742">
        <f>H189</f>
        <v>0</v>
      </c>
      <c r="I188" s="2744"/>
      <c r="J188" s="2745"/>
      <c r="K188" s="2692"/>
      <c r="L188" s="2692"/>
      <c r="M188" s="2692"/>
      <c r="N188" s="2743">
        <f>N189</f>
        <v>0</v>
      </c>
      <c r="O188" s="2692"/>
      <c r="P188" s="2692"/>
      <c r="Q188" s="2692"/>
      <c r="R188" s="2692"/>
      <c r="S188" s="2692"/>
      <c r="T188" s="2692"/>
      <c r="U188" s="2742">
        <f>U189</f>
        <v>0</v>
      </c>
    </row>
    <row r="189" spans="1:21" ht="12.65" hidden="1" customHeight="1" x14ac:dyDescent="0.25">
      <c r="A189" s="1179"/>
      <c r="B189" s="753" t="s">
        <v>948</v>
      </c>
      <c r="C189" s="1226"/>
      <c r="D189" s="409" t="s">
        <v>452</v>
      </c>
      <c r="E189" s="409" t="s">
        <v>463</v>
      </c>
      <c r="F189" s="409" t="s">
        <v>1231</v>
      </c>
      <c r="G189" s="1662" t="s">
        <v>955</v>
      </c>
      <c r="H189" s="2742">
        <f>H190</f>
        <v>0</v>
      </c>
      <c r="I189" s="2744"/>
      <c r="J189" s="2745"/>
      <c r="K189" s="2692"/>
      <c r="L189" s="2692"/>
      <c r="M189" s="2692"/>
      <c r="N189" s="2743">
        <f>N190</f>
        <v>0</v>
      </c>
      <c r="O189" s="2692"/>
      <c r="P189" s="2692"/>
      <c r="Q189" s="2692"/>
      <c r="R189" s="2692"/>
      <c r="S189" s="2692"/>
      <c r="T189" s="2692"/>
      <c r="U189" s="2742">
        <f>U190</f>
        <v>0</v>
      </c>
    </row>
    <row r="190" spans="1:21" ht="19" hidden="1" customHeight="1" x14ac:dyDescent="0.25">
      <c r="A190" s="1179"/>
      <c r="B190" s="1182" t="s">
        <v>454</v>
      </c>
      <c r="C190" s="1226"/>
      <c r="D190" s="409" t="s">
        <v>452</v>
      </c>
      <c r="E190" s="409" t="s">
        <v>463</v>
      </c>
      <c r="F190" s="409" t="s">
        <v>1231</v>
      </c>
      <c r="G190" s="1662" t="s">
        <v>1</v>
      </c>
      <c r="H190" s="2742"/>
      <c r="I190" s="2744"/>
      <c r="J190" s="2745"/>
      <c r="K190" s="2692"/>
      <c r="L190" s="2692"/>
      <c r="M190" s="2692"/>
      <c r="N190" s="2743">
        <v>0</v>
      </c>
      <c r="O190" s="2692"/>
      <c r="P190" s="2692"/>
      <c r="Q190" s="2692"/>
      <c r="R190" s="2692"/>
      <c r="S190" s="2692"/>
      <c r="T190" s="2692"/>
      <c r="U190" s="2742">
        <v>0</v>
      </c>
    </row>
    <row r="191" spans="1:21" x14ac:dyDescent="0.25">
      <c r="A191" s="1229"/>
      <c r="B191" s="1225" t="s">
        <v>60</v>
      </c>
      <c r="C191" s="1227"/>
      <c r="D191" s="1227" t="s">
        <v>452</v>
      </c>
      <c r="E191" s="1227" t="s">
        <v>539</v>
      </c>
      <c r="F191" s="1227"/>
      <c r="G191" s="1665"/>
      <c r="H191" s="2738">
        <f>H197+H200+H210+H213+H230+H206+H203</f>
        <v>14084.67949</v>
      </c>
      <c r="I191" s="2739">
        <f>I192</f>
        <v>0</v>
      </c>
      <c r="J191" s="2740">
        <f>J192</f>
        <v>0</v>
      </c>
      <c r="K191" s="2692"/>
      <c r="L191" s="2692"/>
      <c r="M191" s="2692"/>
      <c r="N191" s="2741">
        <f>N197+N200+N210+N213+N230+N206+N203</f>
        <v>29307.916209999999</v>
      </c>
      <c r="O191" s="2692"/>
      <c r="P191" s="2692"/>
      <c r="Q191" s="2692"/>
      <c r="R191" s="2692"/>
      <c r="S191" s="2692"/>
      <c r="T191" s="2692"/>
      <c r="U191" s="2738">
        <f>U197+U200+U210+U213+U230+U206+U203</f>
        <v>1941.52</v>
      </c>
    </row>
    <row r="192" spans="1:21" ht="30" customHeight="1" x14ac:dyDescent="0.25">
      <c r="A192" s="1179"/>
      <c r="B192" s="1205" t="s">
        <v>1137</v>
      </c>
      <c r="C192" s="409"/>
      <c r="D192" s="409" t="s">
        <v>452</v>
      </c>
      <c r="E192" s="409" t="s">
        <v>539</v>
      </c>
      <c r="F192" s="409" t="s">
        <v>218</v>
      </c>
      <c r="G192" s="1662"/>
      <c r="H192" s="2729">
        <f>H193+H207</f>
        <v>6913.8778899999998</v>
      </c>
      <c r="I192" s="2730">
        <f>I193+I207</f>
        <v>0</v>
      </c>
      <c r="J192" s="2746">
        <f>J193+J207</f>
        <v>0</v>
      </c>
      <c r="K192" s="2692"/>
      <c r="L192" s="2692"/>
      <c r="M192" s="2692"/>
      <c r="N192" s="2732">
        <f>N193+N207</f>
        <v>29307.916209999999</v>
      </c>
      <c r="O192" s="2692"/>
      <c r="P192" s="2692"/>
      <c r="Q192" s="2692"/>
      <c r="R192" s="2692"/>
      <c r="S192" s="2692"/>
      <c r="T192" s="2692"/>
      <c r="U192" s="2729">
        <f>U193+U207</f>
        <v>1941.52</v>
      </c>
    </row>
    <row r="193" spans="1:28" ht="21" x14ac:dyDescent="0.25">
      <c r="A193" s="1179"/>
      <c r="B193" s="1205" t="s">
        <v>217</v>
      </c>
      <c r="C193" s="1217"/>
      <c r="D193" s="1217" t="s">
        <v>452</v>
      </c>
      <c r="E193" s="1217" t="s">
        <v>539</v>
      </c>
      <c r="F193" s="409" t="s">
        <v>216</v>
      </c>
      <c r="G193" s="1664"/>
      <c r="H193" s="2729">
        <f>H194</f>
        <v>5993.6778899999999</v>
      </c>
      <c r="I193" s="2730">
        <f>I194</f>
        <v>0</v>
      </c>
      <c r="J193" s="2746">
        <f>J194</f>
        <v>0</v>
      </c>
      <c r="K193" s="2702">
        <f>K197+K200+K210+K213+K230</f>
        <v>388.9</v>
      </c>
      <c r="L193" s="2692"/>
      <c r="M193" s="2692"/>
      <c r="N193" s="2732">
        <f>N194</f>
        <v>29307.916209999999</v>
      </c>
      <c r="O193" s="2692"/>
      <c r="P193" s="2692"/>
      <c r="Q193" s="2692"/>
      <c r="R193" s="2692"/>
      <c r="S193" s="2692"/>
      <c r="T193" s="2692"/>
      <c r="U193" s="2729">
        <f>U194</f>
        <v>948.3</v>
      </c>
    </row>
    <row r="194" spans="1:28" ht="52.5" x14ac:dyDescent="0.25">
      <c r="A194" s="1179"/>
      <c r="B194" s="1197" t="s">
        <v>986</v>
      </c>
      <c r="C194" s="1217"/>
      <c r="D194" s="1217" t="s">
        <v>452</v>
      </c>
      <c r="E194" s="1217" t="s">
        <v>539</v>
      </c>
      <c r="F194" s="1217" t="s">
        <v>214</v>
      </c>
      <c r="G194" s="1664"/>
      <c r="H194" s="2729">
        <f>H195+H198+H206</f>
        <v>5993.6778899999999</v>
      </c>
      <c r="I194" s="2730">
        <f>I195+I198+I206</f>
        <v>0</v>
      </c>
      <c r="J194" s="2746">
        <f>J195+J198+J206</f>
        <v>0</v>
      </c>
      <c r="K194" s="2692"/>
      <c r="L194" s="2692"/>
      <c r="M194" s="2692"/>
      <c r="N194" s="2732">
        <f>N195+N198+N206+N203</f>
        <v>29307.916209999999</v>
      </c>
      <c r="O194" s="2692"/>
      <c r="P194" s="2692"/>
      <c r="Q194" s="2692"/>
      <c r="R194" s="2692"/>
      <c r="S194" s="2692"/>
      <c r="T194" s="2692"/>
      <c r="U194" s="2729">
        <f>U195+U198+U206</f>
        <v>948.3</v>
      </c>
    </row>
    <row r="195" spans="1:28" hidden="1" x14ac:dyDescent="0.25">
      <c r="A195" s="1179"/>
      <c r="B195" s="1197" t="s">
        <v>619</v>
      </c>
      <c r="C195" s="1217"/>
      <c r="D195" s="1217" t="s">
        <v>452</v>
      </c>
      <c r="E195" s="1217" t="s">
        <v>539</v>
      </c>
      <c r="F195" s="1217" t="s">
        <v>213</v>
      </c>
      <c r="G195" s="1662"/>
      <c r="H195" s="2729">
        <f>H197</f>
        <v>0</v>
      </c>
      <c r="I195" s="2730">
        <f>I197</f>
        <v>0</v>
      </c>
      <c r="J195" s="2746">
        <f>J197</f>
        <v>0</v>
      </c>
      <c r="K195" s="2692"/>
      <c r="L195" s="2692"/>
      <c r="M195" s="2692"/>
      <c r="N195" s="2732">
        <f>N197</f>
        <v>0</v>
      </c>
      <c r="O195" s="2692"/>
      <c r="P195" s="2692"/>
      <c r="Q195" s="2692"/>
      <c r="R195" s="2692"/>
      <c r="S195" s="2692"/>
      <c r="T195" s="2692"/>
      <c r="U195" s="2729">
        <f>U197</f>
        <v>0</v>
      </c>
    </row>
    <row r="196" spans="1:28" hidden="1" x14ac:dyDescent="0.25">
      <c r="A196" s="1179"/>
      <c r="B196" s="753" t="s">
        <v>948</v>
      </c>
      <c r="C196" s="1217"/>
      <c r="D196" s="1217" t="s">
        <v>452</v>
      </c>
      <c r="E196" s="1217" t="s">
        <v>539</v>
      </c>
      <c r="F196" s="1217" t="s">
        <v>213</v>
      </c>
      <c r="G196" s="1662" t="s">
        <v>955</v>
      </c>
      <c r="H196" s="2729">
        <f t="shared" ref="H196:U196" si="40">H197</f>
        <v>0</v>
      </c>
      <c r="I196" s="2730">
        <f t="shared" si="40"/>
        <v>0</v>
      </c>
      <c r="J196" s="2747">
        <f t="shared" si="40"/>
        <v>0</v>
      </c>
      <c r="K196" s="2692">
        <f t="shared" si="40"/>
        <v>0</v>
      </c>
      <c r="L196" s="2692">
        <f t="shared" si="40"/>
        <v>0</v>
      </c>
      <c r="M196" s="2692">
        <f t="shared" si="40"/>
        <v>0</v>
      </c>
      <c r="N196" s="2732">
        <f t="shared" si="40"/>
        <v>0</v>
      </c>
      <c r="O196" s="2692">
        <f t="shared" si="40"/>
        <v>0</v>
      </c>
      <c r="P196" s="2692">
        <f t="shared" si="40"/>
        <v>0</v>
      </c>
      <c r="Q196" s="2692">
        <f t="shared" si="40"/>
        <v>0</v>
      </c>
      <c r="R196" s="2692">
        <f t="shared" si="40"/>
        <v>0</v>
      </c>
      <c r="S196" s="2692">
        <f t="shared" si="40"/>
        <v>0</v>
      </c>
      <c r="T196" s="2692">
        <f t="shared" si="40"/>
        <v>0</v>
      </c>
      <c r="U196" s="2729">
        <f t="shared" si="40"/>
        <v>0</v>
      </c>
    </row>
    <row r="197" spans="1:28" ht="21" hidden="1" x14ac:dyDescent="0.25">
      <c r="A197" s="1179"/>
      <c r="B197" s="1182" t="s">
        <v>454</v>
      </c>
      <c r="C197" s="1217"/>
      <c r="D197" s="1217" t="s">
        <v>452</v>
      </c>
      <c r="E197" s="1217" t="s">
        <v>539</v>
      </c>
      <c r="F197" s="1217" t="s">
        <v>213</v>
      </c>
      <c r="G197" s="1662" t="s">
        <v>1</v>
      </c>
      <c r="H197" s="2729">
        <v>0</v>
      </c>
      <c r="I197" s="2730"/>
      <c r="J197" s="2731"/>
      <c r="K197" s="2692"/>
      <c r="L197" s="2692"/>
      <c r="M197" s="2692"/>
      <c r="N197" s="2732">
        <v>0</v>
      </c>
      <c r="O197" s="2692"/>
      <c r="P197" s="2692"/>
      <c r="Q197" s="2692"/>
      <c r="R197" s="2692"/>
      <c r="S197" s="2692"/>
      <c r="T197" s="2692"/>
      <c r="U197" s="2729">
        <v>0</v>
      </c>
      <c r="V197" s="237">
        <f>H191-V200-V210-V213</f>
        <v>11199.665490000001</v>
      </c>
      <c r="W197" s="237"/>
      <c r="X197" s="237"/>
    </row>
    <row r="198" spans="1:28" ht="21" x14ac:dyDescent="0.25">
      <c r="A198" s="1179"/>
      <c r="B198" s="1197" t="s">
        <v>212</v>
      </c>
      <c r="C198" s="1217"/>
      <c r="D198" s="1217" t="s">
        <v>452</v>
      </c>
      <c r="E198" s="1217" t="s">
        <v>539</v>
      </c>
      <c r="F198" s="1217" t="s">
        <v>984</v>
      </c>
      <c r="G198" s="1662"/>
      <c r="H198" s="2729">
        <f>H200</f>
        <v>725</v>
      </c>
      <c r="I198" s="2730">
        <f>I200</f>
        <v>0</v>
      </c>
      <c r="J198" s="2731">
        <f>J200</f>
        <v>0</v>
      </c>
      <c r="K198" s="2692"/>
      <c r="L198" s="2692"/>
      <c r="M198" s="2692"/>
      <c r="N198" s="2732">
        <f>N200</f>
        <v>0</v>
      </c>
      <c r="O198" s="2692"/>
      <c r="P198" s="2692"/>
      <c r="Q198" s="2692"/>
      <c r="R198" s="2692"/>
      <c r="S198" s="2692"/>
      <c r="T198" s="2692"/>
      <c r="U198" s="2729">
        <f>U200</f>
        <v>0</v>
      </c>
    </row>
    <row r="199" spans="1:28" x14ac:dyDescent="0.25">
      <c r="A199" s="1179"/>
      <c r="B199" s="753" t="s">
        <v>948</v>
      </c>
      <c r="C199" s="1217"/>
      <c r="D199" s="1217" t="s">
        <v>452</v>
      </c>
      <c r="E199" s="1217" t="s">
        <v>539</v>
      </c>
      <c r="F199" s="1217" t="s">
        <v>984</v>
      </c>
      <c r="G199" s="1662" t="s">
        <v>955</v>
      </c>
      <c r="H199" s="2729">
        <f t="shared" ref="H199:U199" si="41">H200</f>
        <v>725</v>
      </c>
      <c r="I199" s="2730">
        <f t="shared" si="41"/>
        <v>0</v>
      </c>
      <c r="J199" s="2731">
        <f t="shared" si="41"/>
        <v>0</v>
      </c>
      <c r="K199" s="2692">
        <f t="shared" si="41"/>
        <v>0</v>
      </c>
      <c r="L199" s="2692">
        <f t="shared" si="41"/>
        <v>0</v>
      </c>
      <c r="M199" s="2692">
        <f t="shared" si="41"/>
        <v>0</v>
      </c>
      <c r="N199" s="2732">
        <f t="shared" si="41"/>
        <v>0</v>
      </c>
      <c r="O199" s="2692">
        <f t="shared" si="41"/>
        <v>0</v>
      </c>
      <c r="P199" s="2692">
        <f t="shared" si="41"/>
        <v>0</v>
      </c>
      <c r="Q199" s="2692">
        <f t="shared" si="41"/>
        <v>0</v>
      </c>
      <c r="R199" s="2692">
        <f t="shared" si="41"/>
        <v>0</v>
      </c>
      <c r="S199" s="2692">
        <f t="shared" si="41"/>
        <v>0</v>
      </c>
      <c r="T199" s="2692">
        <f t="shared" si="41"/>
        <v>0</v>
      </c>
      <c r="U199" s="2729">
        <f t="shared" si="41"/>
        <v>0</v>
      </c>
    </row>
    <row r="200" spans="1:28" ht="21" x14ac:dyDescent="0.25">
      <c r="A200" s="1179"/>
      <c r="B200" s="1182" t="s">
        <v>454</v>
      </c>
      <c r="C200" s="1217"/>
      <c r="D200" s="1217" t="s">
        <v>452</v>
      </c>
      <c r="E200" s="1217" t="s">
        <v>539</v>
      </c>
      <c r="F200" s="1217" t="s">
        <v>984</v>
      </c>
      <c r="G200" s="1662" t="s">
        <v>1</v>
      </c>
      <c r="H200" s="2729">
        <f>725</f>
        <v>725</v>
      </c>
      <c r="I200" s="2730"/>
      <c r="J200" s="2731"/>
      <c r="K200" s="2692"/>
      <c r="L200" s="2692"/>
      <c r="M200" s="2692"/>
      <c r="N200" s="2732">
        <v>0</v>
      </c>
      <c r="O200" s="2692"/>
      <c r="P200" s="2692"/>
      <c r="Q200" s="2692"/>
      <c r="R200" s="2692"/>
      <c r="S200" s="2692"/>
      <c r="T200" s="2692"/>
      <c r="U200" s="2729">
        <v>0</v>
      </c>
      <c r="V200" s="1">
        <v>1695.0139999999999</v>
      </c>
      <c r="W200" s="1">
        <v>1726.1220000000001</v>
      </c>
      <c r="X200" s="1">
        <v>1726.1220000000001</v>
      </c>
      <c r="AA200" s="1">
        <v>-5.7</v>
      </c>
      <c r="AB200" s="1">
        <v>383.2</v>
      </c>
    </row>
    <row r="201" spans="1:28" ht="40.5" customHeight="1" x14ac:dyDescent="0.25">
      <c r="A201" s="1179"/>
      <c r="B201" s="1198" t="s">
        <v>1229</v>
      </c>
      <c r="C201" s="1217"/>
      <c r="D201" s="1217" t="s">
        <v>452</v>
      </c>
      <c r="E201" s="1217" t="s">
        <v>539</v>
      </c>
      <c r="F201" s="1217" t="s">
        <v>1228</v>
      </c>
      <c r="G201" s="1662"/>
      <c r="H201" s="2729">
        <f>H202</f>
        <v>7170.8016000000007</v>
      </c>
      <c r="I201" s="2730"/>
      <c r="J201" s="2731"/>
      <c r="K201" s="2692"/>
      <c r="L201" s="2692"/>
      <c r="M201" s="2692"/>
      <c r="N201" s="2732">
        <f>N202</f>
        <v>28359.61621</v>
      </c>
      <c r="O201" s="2692"/>
      <c r="P201" s="2692"/>
      <c r="Q201" s="2692"/>
      <c r="R201" s="2692"/>
      <c r="S201" s="2692"/>
      <c r="T201" s="2692"/>
      <c r="U201" s="2729">
        <f>U202</f>
        <v>0</v>
      </c>
    </row>
    <row r="202" spans="1:28" ht="20.149999999999999" customHeight="1" x14ac:dyDescent="0.25">
      <c r="A202" s="1179"/>
      <c r="B202" s="1198" t="s">
        <v>948</v>
      </c>
      <c r="C202" s="1217"/>
      <c r="D202" s="1217" t="s">
        <v>452</v>
      </c>
      <c r="E202" s="1217" t="s">
        <v>539</v>
      </c>
      <c r="F202" s="1217" t="s">
        <v>1228</v>
      </c>
      <c r="G202" s="1662" t="s">
        <v>955</v>
      </c>
      <c r="H202" s="2729">
        <f>H203</f>
        <v>7170.8016000000007</v>
      </c>
      <c r="I202" s="2730"/>
      <c r="J202" s="2731"/>
      <c r="K202" s="2692"/>
      <c r="L202" s="2692"/>
      <c r="M202" s="2692"/>
      <c r="N202" s="2732">
        <f>N203</f>
        <v>28359.61621</v>
      </c>
      <c r="O202" s="2692"/>
      <c r="P202" s="2692"/>
      <c r="Q202" s="2692"/>
      <c r="R202" s="2692"/>
      <c r="S202" s="2692"/>
      <c r="T202" s="2692"/>
      <c r="U202" s="2729">
        <f>U203</f>
        <v>0</v>
      </c>
    </row>
    <row r="203" spans="1:28" ht="21" x14ac:dyDescent="0.25">
      <c r="A203" s="1179"/>
      <c r="B203" s="1198" t="s">
        <v>454</v>
      </c>
      <c r="C203" s="1217"/>
      <c r="D203" s="1217" t="s">
        <v>452</v>
      </c>
      <c r="E203" s="1217" t="s">
        <v>539</v>
      </c>
      <c r="F203" s="1217" t="s">
        <v>1228</v>
      </c>
      <c r="G203" s="1662" t="s">
        <v>1</v>
      </c>
      <c r="H203" s="2729">
        <f>717.08016+6453.72144</f>
        <v>7170.8016000000007</v>
      </c>
      <c r="I203" s="2730"/>
      <c r="J203" s="2731"/>
      <c r="K203" s="2692"/>
      <c r="L203" s="2692"/>
      <c r="M203" s="2692"/>
      <c r="N203" s="2732">
        <f>34813.33765-6453.72144</f>
        <v>28359.61621</v>
      </c>
      <c r="O203" s="2692"/>
      <c r="P203" s="2692"/>
      <c r="Q203" s="2692"/>
      <c r="R203" s="2692"/>
      <c r="S203" s="2692"/>
      <c r="T203" s="2692"/>
      <c r="U203" s="2729">
        <v>0</v>
      </c>
    </row>
    <row r="204" spans="1:28" ht="13" x14ac:dyDescent="0.25">
      <c r="A204" s="1179"/>
      <c r="B204" s="1098" t="s">
        <v>201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729">
        <f>H205</f>
        <v>5268.6778899999999</v>
      </c>
      <c r="I204" s="2730">
        <f>I206</f>
        <v>0</v>
      </c>
      <c r="J204" s="2731">
        <f>J206</f>
        <v>0</v>
      </c>
      <c r="K204" s="2692"/>
      <c r="L204" s="2692"/>
      <c r="M204" s="2692"/>
      <c r="N204" s="2732">
        <f>N205</f>
        <v>948.3</v>
      </c>
      <c r="O204" s="2692"/>
      <c r="P204" s="2692"/>
      <c r="Q204" s="2692"/>
      <c r="R204" s="2692"/>
      <c r="S204" s="2692"/>
      <c r="T204" s="2692"/>
      <c r="U204" s="2729">
        <f>U206</f>
        <v>948.3</v>
      </c>
    </row>
    <row r="205" spans="1:28" x14ac:dyDescent="0.25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729">
        <f>H206</f>
        <v>5268.6778899999999</v>
      </c>
      <c r="I205" s="2730"/>
      <c r="J205" s="2731"/>
      <c r="K205" s="2692"/>
      <c r="L205" s="2692"/>
      <c r="M205" s="2692"/>
      <c r="N205" s="2732">
        <f>N206</f>
        <v>948.3</v>
      </c>
      <c r="O205" s="2692"/>
      <c r="P205" s="2692"/>
      <c r="Q205" s="2692"/>
      <c r="R205" s="2692"/>
      <c r="S205" s="2692"/>
      <c r="T205" s="2692"/>
      <c r="U205" s="2729">
        <f>U206</f>
        <v>948.3</v>
      </c>
    </row>
    <row r="206" spans="1:28" ht="21" x14ac:dyDescent="0.25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729">
        <f>875.8+0.25567+4000+392.62222</f>
        <v>5268.6778899999999</v>
      </c>
      <c r="I206" s="2730"/>
      <c r="J206" s="2731"/>
      <c r="K206" s="2692"/>
      <c r="L206" s="2692"/>
      <c r="M206" s="2692"/>
      <c r="N206" s="2732">
        <v>948.3</v>
      </c>
      <c r="O206" s="2692"/>
      <c r="P206" s="2692"/>
      <c r="Q206" s="2692"/>
      <c r="R206" s="2692"/>
      <c r="S206" s="2692"/>
      <c r="T206" s="2692"/>
      <c r="U206" s="2729">
        <v>948.3</v>
      </c>
      <c r="AA206" s="1">
        <v>5.7</v>
      </c>
      <c r="AB206" s="1">
        <v>383.2</v>
      </c>
    </row>
    <row r="207" spans="1:28" ht="31.5" x14ac:dyDescent="0.25">
      <c r="A207" s="1179"/>
      <c r="B207" s="1205" t="s">
        <v>837</v>
      </c>
      <c r="C207" s="1217"/>
      <c r="D207" s="1217" t="s">
        <v>452</v>
      </c>
      <c r="E207" s="1217" t="s">
        <v>539</v>
      </c>
      <c r="F207" s="409" t="s">
        <v>204</v>
      </c>
      <c r="G207" s="1662"/>
      <c r="H207" s="2729">
        <f>H208</f>
        <v>920.2</v>
      </c>
      <c r="I207" s="2730">
        <f>I208</f>
        <v>0</v>
      </c>
      <c r="J207" s="2731">
        <f>J208</f>
        <v>0</v>
      </c>
      <c r="K207" s="2692"/>
      <c r="L207" s="2692"/>
      <c r="M207" s="2692"/>
      <c r="N207" s="2732">
        <f>N208</f>
        <v>0</v>
      </c>
      <c r="O207" s="2692"/>
      <c r="P207" s="2692"/>
      <c r="Q207" s="2692"/>
      <c r="R207" s="2692"/>
      <c r="S207" s="2692"/>
      <c r="T207" s="2692"/>
      <c r="U207" s="2729">
        <f>U208</f>
        <v>993.22</v>
      </c>
    </row>
    <row r="208" spans="1:28" x14ac:dyDescent="0.25">
      <c r="A208" s="1179"/>
      <c r="B208" s="1197" t="s">
        <v>203</v>
      </c>
      <c r="C208" s="1217"/>
      <c r="D208" s="1217" t="s">
        <v>452</v>
      </c>
      <c r="E208" s="1217" t="s">
        <v>539</v>
      </c>
      <c r="F208" s="1217" t="s">
        <v>202</v>
      </c>
      <c r="G208" s="1662"/>
      <c r="H208" s="2729">
        <f>H209+H211</f>
        <v>920.2</v>
      </c>
      <c r="I208" s="2730">
        <f>I209+I211</f>
        <v>0</v>
      </c>
      <c r="J208" s="2731">
        <f>J209+J211</f>
        <v>0</v>
      </c>
      <c r="K208" s="2692"/>
      <c r="L208" s="2692"/>
      <c r="M208" s="2692"/>
      <c r="N208" s="2732">
        <f>N209+N211</f>
        <v>0</v>
      </c>
      <c r="O208" s="2692"/>
      <c r="P208" s="2692"/>
      <c r="Q208" s="2692"/>
      <c r="R208" s="2692"/>
      <c r="S208" s="2692"/>
      <c r="T208" s="2692"/>
      <c r="U208" s="2729">
        <f>U209+U211</f>
        <v>993.22</v>
      </c>
    </row>
    <row r="209" spans="1:24" hidden="1" x14ac:dyDescent="0.25">
      <c r="A209" s="1179"/>
      <c r="B209" s="1197" t="s">
        <v>619</v>
      </c>
      <c r="C209" s="1217"/>
      <c r="D209" s="1217" t="s">
        <v>452</v>
      </c>
      <c r="E209" s="1217" t="s">
        <v>539</v>
      </c>
      <c r="F209" s="1217" t="s">
        <v>200</v>
      </c>
      <c r="G209" s="1662"/>
      <c r="H209" s="2729">
        <f>H210</f>
        <v>0</v>
      </c>
      <c r="I209" s="2730">
        <f>I210</f>
        <v>0</v>
      </c>
      <c r="J209" s="2731">
        <f>J210</f>
        <v>0</v>
      </c>
      <c r="K209" s="2692"/>
      <c r="L209" s="2692"/>
      <c r="M209" s="2692"/>
      <c r="N209" s="2732">
        <f>N210</f>
        <v>0</v>
      </c>
      <c r="O209" s="2692"/>
      <c r="P209" s="2692"/>
      <c r="Q209" s="2692"/>
      <c r="R209" s="2692"/>
      <c r="S209" s="2692"/>
      <c r="T209" s="2692"/>
      <c r="U209" s="2729">
        <f>U210</f>
        <v>0</v>
      </c>
    </row>
    <row r="210" spans="1:24" ht="21" hidden="1" x14ac:dyDescent="0.25">
      <c r="A210" s="1179"/>
      <c r="B210" s="1182" t="s">
        <v>454</v>
      </c>
      <c r="C210" s="1217"/>
      <c r="D210" s="1217" t="s">
        <v>452</v>
      </c>
      <c r="E210" s="1217" t="s">
        <v>539</v>
      </c>
      <c r="F210" s="1217" t="s">
        <v>200</v>
      </c>
      <c r="G210" s="1662" t="s">
        <v>1</v>
      </c>
      <c r="H210" s="2729"/>
      <c r="I210" s="2730"/>
      <c r="J210" s="2731"/>
      <c r="K210" s="2692"/>
      <c r="L210" s="2692"/>
      <c r="M210" s="2692"/>
      <c r="N210" s="2732"/>
      <c r="O210" s="2692"/>
      <c r="P210" s="2692"/>
      <c r="Q210" s="2692"/>
      <c r="R210" s="2692"/>
      <c r="S210" s="2692"/>
      <c r="T210" s="2692"/>
      <c r="U210" s="2729"/>
      <c r="V210" s="1">
        <v>750</v>
      </c>
    </row>
    <row r="211" spans="1:24" ht="21" x14ac:dyDescent="0.25">
      <c r="A211" s="1179"/>
      <c r="B211" s="1197" t="s">
        <v>199</v>
      </c>
      <c r="C211" s="1217"/>
      <c r="D211" s="1217" t="s">
        <v>452</v>
      </c>
      <c r="E211" s="1217" t="s">
        <v>539</v>
      </c>
      <c r="F211" s="1217" t="s">
        <v>198</v>
      </c>
      <c r="G211" s="1662"/>
      <c r="H211" s="2729">
        <f>H213</f>
        <v>920.2</v>
      </c>
      <c r="I211" s="2730">
        <f>I213</f>
        <v>0</v>
      </c>
      <c r="J211" s="2731">
        <f>J213</f>
        <v>0</v>
      </c>
      <c r="K211" s="2692"/>
      <c r="L211" s="2692"/>
      <c r="M211" s="2692"/>
      <c r="N211" s="2732">
        <f>N213</f>
        <v>0</v>
      </c>
      <c r="O211" s="2692"/>
      <c r="P211" s="2692"/>
      <c r="Q211" s="2692"/>
      <c r="R211" s="2692"/>
      <c r="S211" s="2692"/>
      <c r="T211" s="2692"/>
      <c r="U211" s="2729">
        <f>U213</f>
        <v>993.22</v>
      </c>
    </row>
    <row r="212" spans="1:24" x14ac:dyDescent="0.25">
      <c r="A212" s="1179"/>
      <c r="B212" s="753" t="s">
        <v>948</v>
      </c>
      <c r="C212" s="1217"/>
      <c r="D212" s="1217" t="s">
        <v>452</v>
      </c>
      <c r="E212" s="1217" t="s">
        <v>539</v>
      </c>
      <c r="F212" s="1217" t="s">
        <v>198</v>
      </c>
      <c r="G212" s="1662" t="s">
        <v>955</v>
      </c>
      <c r="H212" s="2729">
        <f t="shared" ref="H212:U212" si="42">H213</f>
        <v>920.2</v>
      </c>
      <c r="I212" s="2730">
        <f t="shared" si="42"/>
        <v>0</v>
      </c>
      <c r="J212" s="2731">
        <f t="shared" si="42"/>
        <v>0</v>
      </c>
      <c r="K212" s="2692">
        <f t="shared" si="42"/>
        <v>0</v>
      </c>
      <c r="L212" s="2692">
        <f t="shared" si="42"/>
        <v>0</v>
      </c>
      <c r="M212" s="2692">
        <f t="shared" si="42"/>
        <v>0</v>
      </c>
      <c r="N212" s="2732">
        <f t="shared" si="42"/>
        <v>0</v>
      </c>
      <c r="O212" s="2692">
        <f t="shared" si="42"/>
        <v>0</v>
      </c>
      <c r="P212" s="2692">
        <f t="shared" si="42"/>
        <v>0</v>
      </c>
      <c r="Q212" s="2692">
        <f t="shared" si="42"/>
        <v>0</v>
      </c>
      <c r="R212" s="2692">
        <f t="shared" si="42"/>
        <v>0</v>
      </c>
      <c r="S212" s="2692">
        <f t="shared" si="42"/>
        <v>0</v>
      </c>
      <c r="T212" s="2692">
        <f t="shared" si="42"/>
        <v>0</v>
      </c>
      <c r="U212" s="2729">
        <f t="shared" si="42"/>
        <v>993.22</v>
      </c>
    </row>
    <row r="213" spans="1:24" ht="21" x14ac:dyDescent="0.25">
      <c r="A213" s="1179"/>
      <c r="B213" s="1182" t="s">
        <v>454</v>
      </c>
      <c r="C213" s="1217"/>
      <c r="D213" s="1217" t="s">
        <v>452</v>
      </c>
      <c r="E213" s="1217" t="s">
        <v>539</v>
      </c>
      <c r="F213" s="1217" t="s">
        <v>198</v>
      </c>
      <c r="G213" s="1662" t="s">
        <v>1</v>
      </c>
      <c r="H213" s="2729">
        <v>920.2</v>
      </c>
      <c r="I213" s="2730"/>
      <c r="J213" s="2731"/>
      <c r="K213" s="2692"/>
      <c r="L213" s="2692"/>
      <c r="M213" s="2692"/>
      <c r="N213" s="2732">
        <v>0</v>
      </c>
      <c r="O213" s="2692"/>
      <c r="P213" s="2692"/>
      <c r="Q213" s="2692"/>
      <c r="R213" s="2692"/>
      <c r="S213" s="2692"/>
      <c r="T213" s="2692"/>
      <c r="U213" s="2729">
        <f>610+383.22</f>
        <v>993.22</v>
      </c>
      <c r="V213" s="1">
        <v>440</v>
      </c>
      <c r="W213" s="1">
        <v>460</v>
      </c>
      <c r="X213" s="1">
        <v>520</v>
      </c>
    </row>
    <row r="214" spans="1:24" ht="31.5" hidden="1" x14ac:dyDescent="0.25">
      <c r="A214" s="842"/>
      <c r="B214" s="1230" t="s">
        <v>557</v>
      </c>
      <c r="C214" s="408"/>
      <c r="D214" s="408" t="s">
        <v>452</v>
      </c>
      <c r="E214" s="408" t="s">
        <v>539</v>
      </c>
      <c r="F214" s="408" t="s">
        <v>556</v>
      </c>
      <c r="G214" s="1661"/>
      <c r="H214" s="2733">
        <f>H215</f>
        <v>0</v>
      </c>
      <c r="I214" s="2734">
        <f>I215</f>
        <v>0</v>
      </c>
      <c r="J214" s="2735">
        <f>J215</f>
        <v>0</v>
      </c>
      <c r="K214" s="2692"/>
      <c r="L214" s="2692"/>
      <c r="M214" s="2692"/>
      <c r="N214" s="2737">
        <f>N215</f>
        <v>0</v>
      </c>
      <c r="O214" s="2692"/>
      <c r="P214" s="2692"/>
      <c r="Q214" s="2692"/>
      <c r="R214" s="2692"/>
      <c r="S214" s="2692"/>
      <c r="T214" s="2692"/>
      <c r="U214" s="2733">
        <f>U215</f>
        <v>0</v>
      </c>
    </row>
    <row r="215" spans="1:24" ht="21" hidden="1" x14ac:dyDescent="0.25">
      <c r="A215" s="1179"/>
      <c r="B215" s="1219" t="s">
        <v>555</v>
      </c>
      <c r="C215" s="1217"/>
      <c r="D215" s="1217" t="s">
        <v>452</v>
      </c>
      <c r="E215" s="1217" t="s">
        <v>539</v>
      </c>
      <c r="F215" s="1217" t="s">
        <v>554</v>
      </c>
      <c r="G215" s="1664"/>
      <c r="H215" s="2729">
        <f>H216+H219</f>
        <v>0</v>
      </c>
      <c r="I215" s="2730">
        <f>I216+I219</f>
        <v>0</v>
      </c>
      <c r="J215" s="2731">
        <f>J216+J219</f>
        <v>0</v>
      </c>
      <c r="K215" s="2692"/>
      <c r="L215" s="2692"/>
      <c r="M215" s="2692"/>
      <c r="N215" s="2732">
        <f>N216+N219</f>
        <v>0</v>
      </c>
      <c r="O215" s="2692"/>
      <c r="P215" s="2692"/>
      <c r="Q215" s="2692"/>
      <c r="R215" s="2692"/>
      <c r="S215" s="2692"/>
      <c r="T215" s="2692"/>
      <c r="U215" s="2729">
        <f>U216+U219</f>
        <v>0</v>
      </c>
    </row>
    <row r="216" spans="1:24" ht="31.5" hidden="1" x14ac:dyDescent="0.25">
      <c r="A216" s="1179"/>
      <c r="B216" s="1219" t="s">
        <v>553</v>
      </c>
      <c r="C216" s="1217"/>
      <c r="D216" s="1217" t="s">
        <v>452</v>
      </c>
      <c r="E216" s="1217" t="s">
        <v>539</v>
      </c>
      <c r="F216" s="1217" t="s">
        <v>552</v>
      </c>
      <c r="G216" s="1664"/>
      <c r="H216" s="2729">
        <f t="shared" ref="H216:J217" si="43">H217</f>
        <v>0</v>
      </c>
      <c r="I216" s="2730">
        <f t="shared" si="43"/>
        <v>0</v>
      </c>
      <c r="J216" s="2731">
        <f t="shared" si="43"/>
        <v>0</v>
      </c>
      <c r="K216" s="2692"/>
      <c r="L216" s="2692"/>
      <c r="M216" s="2692"/>
      <c r="N216" s="2732">
        <f t="shared" ref="N216:N217" si="44">N217</f>
        <v>0</v>
      </c>
      <c r="O216" s="2692"/>
      <c r="P216" s="2692"/>
      <c r="Q216" s="2692"/>
      <c r="R216" s="2692"/>
      <c r="S216" s="2692"/>
      <c r="T216" s="2692"/>
      <c r="U216" s="2729">
        <f t="shared" ref="U216:U217" si="45">U217</f>
        <v>0</v>
      </c>
    </row>
    <row r="217" spans="1:24" ht="31.5" hidden="1" x14ac:dyDescent="0.25">
      <c r="A217" s="1179"/>
      <c r="B217" s="753" t="s">
        <v>551</v>
      </c>
      <c r="C217" s="1217"/>
      <c r="D217" s="1217" t="s">
        <v>452</v>
      </c>
      <c r="E217" s="1217" t="s">
        <v>539</v>
      </c>
      <c r="F217" s="1217" t="s">
        <v>550</v>
      </c>
      <c r="G217" s="1664"/>
      <c r="H217" s="2729">
        <f t="shared" si="43"/>
        <v>0</v>
      </c>
      <c r="I217" s="2730">
        <f t="shared" si="43"/>
        <v>0</v>
      </c>
      <c r="J217" s="2731">
        <f t="shared" si="43"/>
        <v>0</v>
      </c>
      <c r="K217" s="2692"/>
      <c r="L217" s="2692"/>
      <c r="M217" s="2692"/>
      <c r="N217" s="2732">
        <f t="shared" si="44"/>
        <v>0</v>
      </c>
      <c r="O217" s="2692"/>
      <c r="P217" s="2692"/>
      <c r="Q217" s="2692"/>
      <c r="R217" s="2692"/>
      <c r="S217" s="2692"/>
      <c r="T217" s="2692"/>
      <c r="U217" s="2729">
        <f t="shared" si="45"/>
        <v>0</v>
      </c>
    </row>
    <row r="218" spans="1:24" hidden="1" x14ac:dyDescent="0.25">
      <c r="A218" s="1179"/>
      <c r="B218" s="1182" t="s">
        <v>481</v>
      </c>
      <c r="C218" s="1217"/>
      <c r="D218" s="1217" t="s">
        <v>452</v>
      </c>
      <c r="E218" s="1217" t="s">
        <v>539</v>
      </c>
      <c r="F218" s="1217" t="s">
        <v>550</v>
      </c>
      <c r="G218" s="1662" t="s">
        <v>26</v>
      </c>
      <c r="H218" s="2729">
        <v>0</v>
      </c>
      <c r="I218" s="2730">
        <v>0</v>
      </c>
      <c r="J218" s="2731">
        <v>0</v>
      </c>
      <c r="K218" s="2692"/>
      <c r="L218" s="2692"/>
      <c r="M218" s="2692"/>
      <c r="N218" s="2732">
        <v>0</v>
      </c>
      <c r="O218" s="2692"/>
      <c r="P218" s="2692"/>
      <c r="Q218" s="2692"/>
      <c r="R218" s="2692"/>
      <c r="S218" s="2692"/>
      <c r="T218" s="2692"/>
      <c r="U218" s="2729">
        <v>0</v>
      </c>
    </row>
    <row r="219" spans="1:24" ht="42" hidden="1" x14ac:dyDescent="0.25">
      <c r="A219" s="1179"/>
      <c r="B219" s="1219" t="s">
        <v>549</v>
      </c>
      <c r="C219" s="1217"/>
      <c r="D219" s="1217" t="s">
        <v>548</v>
      </c>
      <c r="E219" s="1217" t="s">
        <v>539</v>
      </c>
      <c r="F219" s="1217" t="s">
        <v>547</v>
      </c>
      <c r="G219" s="1664"/>
      <c r="H219" s="2729">
        <f>H220+H222+H224</f>
        <v>0</v>
      </c>
      <c r="I219" s="2730">
        <f>I220+I222+I224</f>
        <v>0</v>
      </c>
      <c r="J219" s="2731">
        <f>J220+J222+J224</f>
        <v>0</v>
      </c>
      <c r="K219" s="2692"/>
      <c r="L219" s="2692"/>
      <c r="M219" s="2692"/>
      <c r="N219" s="2732">
        <f>N220+N222+N224</f>
        <v>0</v>
      </c>
      <c r="O219" s="2692"/>
      <c r="P219" s="2692"/>
      <c r="Q219" s="2692"/>
      <c r="R219" s="2692"/>
      <c r="S219" s="2692"/>
      <c r="T219" s="2692"/>
      <c r="U219" s="2729">
        <f>U220+U222+U224</f>
        <v>0</v>
      </c>
    </row>
    <row r="220" spans="1:24" ht="21" hidden="1" x14ac:dyDescent="0.25">
      <c r="A220" s="1179"/>
      <c r="B220" s="753" t="s">
        <v>546</v>
      </c>
      <c r="C220" s="1217"/>
      <c r="D220" s="1217" t="s">
        <v>452</v>
      </c>
      <c r="E220" s="1217" t="s">
        <v>539</v>
      </c>
      <c r="F220" s="1217" t="s">
        <v>545</v>
      </c>
      <c r="G220" s="1664"/>
      <c r="H220" s="2729">
        <f>H221</f>
        <v>0</v>
      </c>
      <c r="I220" s="2730">
        <f>I221</f>
        <v>0</v>
      </c>
      <c r="J220" s="2731">
        <f>J221</f>
        <v>0</v>
      </c>
      <c r="K220" s="2692"/>
      <c r="L220" s="2692"/>
      <c r="M220" s="2692"/>
      <c r="N220" s="2732">
        <f>N221</f>
        <v>0</v>
      </c>
      <c r="O220" s="2692"/>
      <c r="P220" s="2692"/>
      <c r="Q220" s="2692"/>
      <c r="R220" s="2692"/>
      <c r="S220" s="2692"/>
      <c r="T220" s="2692"/>
      <c r="U220" s="2729">
        <f>U221</f>
        <v>0</v>
      </c>
    </row>
    <row r="221" spans="1:24" ht="21" hidden="1" x14ac:dyDescent="0.25">
      <c r="A221" s="1179"/>
      <c r="B221" s="1182" t="s">
        <v>454</v>
      </c>
      <c r="C221" s="1217"/>
      <c r="D221" s="1217" t="s">
        <v>452</v>
      </c>
      <c r="E221" s="1217" t="s">
        <v>539</v>
      </c>
      <c r="F221" s="1217" t="s">
        <v>545</v>
      </c>
      <c r="G221" s="1662" t="s">
        <v>1</v>
      </c>
      <c r="H221" s="2729"/>
      <c r="I221" s="2730"/>
      <c r="J221" s="2731"/>
      <c r="K221" s="2692"/>
      <c r="L221" s="2692"/>
      <c r="M221" s="2692"/>
      <c r="N221" s="2732"/>
      <c r="O221" s="2692"/>
      <c r="P221" s="2692"/>
      <c r="Q221" s="2692"/>
      <c r="R221" s="2692"/>
      <c r="S221" s="2692"/>
      <c r="T221" s="2692"/>
      <c r="U221" s="2729"/>
    </row>
    <row r="222" spans="1:24" ht="31.5" hidden="1" x14ac:dyDescent="0.25">
      <c r="A222" s="1229"/>
      <c r="B222" s="753" t="s">
        <v>544</v>
      </c>
      <c r="C222" s="1217"/>
      <c r="D222" s="1217" t="s">
        <v>452</v>
      </c>
      <c r="E222" s="1217" t="s">
        <v>539</v>
      </c>
      <c r="F222" s="1217" t="s">
        <v>543</v>
      </c>
      <c r="G222" s="1664"/>
      <c r="H222" s="2729">
        <f>H223</f>
        <v>0</v>
      </c>
      <c r="I222" s="2730">
        <f>I223</f>
        <v>0</v>
      </c>
      <c r="J222" s="2731">
        <f>J223</f>
        <v>0</v>
      </c>
      <c r="K222" s="2692"/>
      <c r="L222" s="2692"/>
      <c r="M222" s="2692"/>
      <c r="N222" s="2732">
        <f>N223</f>
        <v>0</v>
      </c>
      <c r="O222" s="2692"/>
      <c r="P222" s="2692"/>
      <c r="Q222" s="2692"/>
      <c r="R222" s="2692"/>
      <c r="S222" s="2692"/>
      <c r="T222" s="2692"/>
      <c r="U222" s="2729">
        <f>U223</f>
        <v>0</v>
      </c>
    </row>
    <row r="223" spans="1:24" ht="21" hidden="1" x14ac:dyDescent="0.25">
      <c r="A223" s="1229"/>
      <c r="B223" s="1182" t="s">
        <v>454</v>
      </c>
      <c r="C223" s="1217"/>
      <c r="D223" s="1217" t="s">
        <v>452</v>
      </c>
      <c r="E223" s="1217" t="s">
        <v>539</v>
      </c>
      <c r="F223" s="1217" t="s">
        <v>543</v>
      </c>
      <c r="G223" s="1662" t="s">
        <v>1</v>
      </c>
      <c r="H223" s="2729"/>
      <c r="I223" s="2730"/>
      <c r="J223" s="2731"/>
      <c r="K223" s="2692"/>
      <c r="L223" s="2692"/>
      <c r="M223" s="2692"/>
      <c r="N223" s="2732"/>
      <c r="O223" s="2692"/>
      <c r="P223" s="2692"/>
      <c r="Q223" s="2692"/>
      <c r="R223" s="2692"/>
      <c r="S223" s="2692"/>
      <c r="T223" s="2692"/>
      <c r="U223" s="2729"/>
    </row>
    <row r="224" spans="1:24" ht="31.5" hidden="1" x14ac:dyDescent="0.25">
      <c r="A224" s="1229"/>
      <c r="B224" s="753" t="s">
        <v>542</v>
      </c>
      <c r="C224" s="1217"/>
      <c r="D224" s="1217" t="s">
        <v>452</v>
      </c>
      <c r="E224" s="1217" t="s">
        <v>539</v>
      </c>
      <c r="F224" s="1217" t="s">
        <v>541</v>
      </c>
      <c r="G224" s="1664"/>
      <c r="H224" s="2729">
        <f>H225</f>
        <v>0</v>
      </c>
      <c r="I224" s="2730">
        <f>I225</f>
        <v>0</v>
      </c>
      <c r="J224" s="2731">
        <f>J225</f>
        <v>0</v>
      </c>
      <c r="K224" s="2692"/>
      <c r="L224" s="2692"/>
      <c r="M224" s="2692"/>
      <c r="N224" s="2732">
        <f>N225</f>
        <v>0</v>
      </c>
      <c r="O224" s="2692"/>
      <c r="P224" s="2692"/>
      <c r="Q224" s="2692"/>
      <c r="R224" s="2692"/>
      <c r="S224" s="2692"/>
      <c r="T224" s="2692"/>
      <c r="U224" s="2729">
        <f>U225</f>
        <v>0</v>
      </c>
    </row>
    <row r="225" spans="1:21" ht="21" hidden="1" x14ac:dyDescent="0.25">
      <c r="A225" s="1229"/>
      <c r="B225" s="1182" t="s">
        <v>454</v>
      </c>
      <c r="C225" s="1217"/>
      <c r="D225" s="1217" t="s">
        <v>452</v>
      </c>
      <c r="E225" s="1217" t="s">
        <v>539</v>
      </c>
      <c r="F225" s="1217" t="s">
        <v>541</v>
      </c>
      <c r="G225" s="1662" t="s">
        <v>1</v>
      </c>
      <c r="H225" s="2729"/>
      <c r="I225" s="2730"/>
      <c r="J225" s="2731"/>
      <c r="K225" s="2692"/>
      <c r="L225" s="2692"/>
      <c r="M225" s="2692"/>
      <c r="N225" s="2732"/>
      <c r="O225" s="2692"/>
      <c r="P225" s="2692"/>
      <c r="Q225" s="2692"/>
      <c r="R225" s="2692"/>
      <c r="S225" s="2692"/>
      <c r="T225" s="2692"/>
      <c r="U225" s="2729"/>
    </row>
    <row r="226" spans="1:21" ht="21" hidden="1" x14ac:dyDescent="0.25">
      <c r="A226" s="1211"/>
      <c r="B226" s="753" t="s">
        <v>499</v>
      </c>
      <c r="C226" s="1177"/>
      <c r="D226" s="409" t="s">
        <v>452</v>
      </c>
      <c r="E226" s="409" t="s">
        <v>539</v>
      </c>
      <c r="F226" s="409" t="s">
        <v>89</v>
      </c>
      <c r="G226" s="1662"/>
      <c r="H226" s="2729">
        <f t="shared" ref="H226:J229" si="46">H227</f>
        <v>0</v>
      </c>
      <c r="I226" s="2734">
        <f t="shared" si="46"/>
        <v>0</v>
      </c>
      <c r="J226" s="2735">
        <f t="shared" si="46"/>
        <v>0</v>
      </c>
      <c r="K226" s="2692"/>
      <c r="L226" s="2692"/>
      <c r="M226" s="2692"/>
      <c r="N226" s="2732">
        <f t="shared" ref="N226:N229" si="47">N227</f>
        <v>0</v>
      </c>
      <c r="O226" s="2692"/>
      <c r="P226" s="2692"/>
      <c r="Q226" s="2692"/>
      <c r="R226" s="2692"/>
      <c r="S226" s="2692"/>
      <c r="T226" s="2692"/>
      <c r="U226" s="2729">
        <f t="shared" ref="U226:U229" si="48">U227</f>
        <v>0</v>
      </c>
    </row>
    <row r="227" spans="1:21" hidden="1" x14ac:dyDescent="0.25">
      <c r="A227" s="842"/>
      <c r="B227" s="753" t="s">
        <v>109</v>
      </c>
      <c r="C227" s="1177"/>
      <c r="D227" s="409" t="s">
        <v>452</v>
      </c>
      <c r="E227" s="409" t="s">
        <v>539</v>
      </c>
      <c r="F227" s="409" t="s">
        <v>84</v>
      </c>
      <c r="G227" s="1662"/>
      <c r="H227" s="2729">
        <f t="shared" si="46"/>
        <v>0</v>
      </c>
      <c r="I227" s="2734">
        <f t="shared" si="46"/>
        <v>0</v>
      </c>
      <c r="J227" s="2735">
        <f t="shared" si="46"/>
        <v>0</v>
      </c>
      <c r="K227" s="2692"/>
      <c r="L227" s="2692"/>
      <c r="M227" s="2692"/>
      <c r="N227" s="2732">
        <f t="shared" si="47"/>
        <v>0</v>
      </c>
      <c r="O227" s="2692"/>
      <c r="P227" s="2692"/>
      <c r="Q227" s="2692"/>
      <c r="R227" s="2692"/>
      <c r="S227" s="2692"/>
      <c r="T227" s="2692"/>
      <c r="U227" s="2729">
        <f t="shared" si="48"/>
        <v>0</v>
      </c>
    </row>
    <row r="228" spans="1:21" hidden="1" x14ac:dyDescent="0.25">
      <c r="A228" s="842"/>
      <c r="B228" s="753" t="s">
        <v>109</v>
      </c>
      <c r="C228" s="1177"/>
      <c r="D228" s="409" t="s">
        <v>452</v>
      </c>
      <c r="E228" s="409" t="s">
        <v>539</v>
      </c>
      <c r="F228" s="409" t="s">
        <v>82</v>
      </c>
      <c r="G228" s="1662"/>
      <c r="H228" s="2729">
        <f>H229</f>
        <v>0</v>
      </c>
      <c r="I228" s="2734">
        <f t="shared" si="46"/>
        <v>0</v>
      </c>
      <c r="J228" s="2735">
        <f t="shared" si="46"/>
        <v>0</v>
      </c>
      <c r="K228" s="2692">
        <v>388.9</v>
      </c>
      <c r="L228" s="2692"/>
      <c r="M228" s="2692"/>
      <c r="N228" s="2732">
        <f>N229</f>
        <v>0</v>
      </c>
      <c r="O228" s="2692"/>
      <c r="P228" s="2692"/>
      <c r="Q228" s="2692"/>
      <c r="R228" s="2692"/>
      <c r="S228" s="2692"/>
      <c r="T228" s="2692"/>
      <c r="U228" s="2729">
        <f>U229</f>
        <v>0</v>
      </c>
    </row>
    <row r="229" spans="1:21" ht="21" hidden="1" x14ac:dyDescent="0.25">
      <c r="A229" s="1229"/>
      <c r="B229" s="1481" t="s">
        <v>967</v>
      </c>
      <c r="C229" s="409"/>
      <c r="D229" s="409" t="s">
        <v>452</v>
      </c>
      <c r="E229" s="409" t="s">
        <v>539</v>
      </c>
      <c r="F229" s="1231" t="s">
        <v>965</v>
      </c>
      <c r="G229" s="1662"/>
      <c r="H229" s="2729">
        <f t="shared" si="46"/>
        <v>0</v>
      </c>
      <c r="I229" s="2730">
        <f t="shared" si="46"/>
        <v>0</v>
      </c>
      <c r="J229" s="2731">
        <f t="shared" si="46"/>
        <v>0</v>
      </c>
      <c r="K229" s="2692"/>
      <c r="L229" s="2692"/>
      <c r="M229" s="2692"/>
      <c r="N229" s="2732">
        <f t="shared" si="47"/>
        <v>0</v>
      </c>
      <c r="O229" s="2692"/>
      <c r="P229" s="2692"/>
      <c r="Q229" s="2692"/>
      <c r="R229" s="2692"/>
      <c r="S229" s="2692"/>
      <c r="T229" s="2692"/>
      <c r="U229" s="2729">
        <f t="shared" si="48"/>
        <v>0</v>
      </c>
    </row>
    <row r="230" spans="1:21" ht="21" hidden="1" x14ac:dyDescent="0.25">
      <c r="A230" s="1229"/>
      <c r="B230" s="1182" t="s">
        <v>454</v>
      </c>
      <c r="C230" s="1217"/>
      <c r="D230" s="1217" t="s">
        <v>452</v>
      </c>
      <c r="E230" s="1217" t="s">
        <v>539</v>
      </c>
      <c r="F230" s="1231" t="s">
        <v>965</v>
      </c>
      <c r="G230" s="1662" t="s">
        <v>1</v>
      </c>
      <c r="H230" s="2729"/>
      <c r="I230" s="2730"/>
      <c r="J230" s="2731"/>
      <c r="K230" s="2692">
        <v>388.9</v>
      </c>
      <c r="L230" s="2692"/>
      <c r="M230" s="2692"/>
      <c r="N230" s="2732"/>
      <c r="O230" s="2692"/>
      <c r="P230" s="2692"/>
      <c r="Q230" s="2692"/>
      <c r="R230" s="2692"/>
      <c r="S230" s="2692"/>
      <c r="T230" s="2692"/>
      <c r="U230" s="2729"/>
    </row>
    <row r="231" spans="1:21" x14ac:dyDescent="0.25">
      <c r="A231" s="1229"/>
      <c r="B231" s="1225" t="s">
        <v>51</v>
      </c>
      <c r="C231" s="1227"/>
      <c r="D231" s="1227" t="s">
        <v>452</v>
      </c>
      <c r="E231" s="1227" t="s">
        <v>534</v>
      </c>
      <c r="F231" s="1227"/>
      <c r="G231" s="1665"/>
      <c r="H231" s="2738">
        <f>H232+H237</f>
        <v>3400.15128</v>
      </c>
      <c r="I231" s="2739">
        <f>I232+I237</f>
        <v>0</v>
      </c>
      <c r="J231" s="2740">
        <f>J232+J237</f>
        <v>0</v>
      </c>
      <c r="K231" s="2692"/>
      <c r="L231" s="2692"/>
      <c r="M231" s="2692"/>
      <c r="N231" s="2741">
        <f>N232+N237</f>
        <v>468.53523000000001</v>
      </c>
      <c r="O231" s="2692"/>
      <c r="P231" s="2692"/>
      <c r="Q231" s="2692"/>
      <c r="R231" s="2692"/>
      <c r="S231" s="2692"/>
      <c r="T231" s="2692"/>
      <c r="U231" s="2738">
        <f>U232+U237</f>
        <v>2131.2555000000002</v>
      </c>
    </row>
    <row r="232" spans="1:21" ht="31.5" x14ac:dyDescent="0.25">
      <c r="A232" s="1179"/>
      <c r="B232" s="1205" t="s">
        <v>907</v>
      </c>
      <c r="C232" s="409"/>
      <c r="D232" s="409" t="s">
        <v>452</v>
      </c>
      <c r="E232" s="409" t="s">
        <v>534</v>
      </c>
      <c r="F232" s="409" t="s">
        <v>292</v>
      </c>
      <c r="G232" s="1662"/>
      <c r="H232" s="2729">
        <f t="shared" ref="H232:J233" si="49">H233</f>
        <v>350</v>
      </c>
      <c r="I232" s="2730">
        <f t="shared" si="49"/>
        <v>0</v>
      </c>
      <c r="J232" s="2746">
        <f t="shared" si="49"/>
        <v>0</v>
      </c>
      <c r="K232" s="2702">
        <f>330</f>
        <v>330</v>
      </c>
      <c r="L232" s="2692"/>
      <c r="M232" s="2692"/>
      <c r="N232" s="2732">
        <f t="shared" ref="N232:N233" si="50">N233</f>
        <v>370</v>
      </c>
      <c r="O232" s="2692"/>
      <c r="P232" s="2692"/>
      <c r="Q232" s="2692"/>
      <c r="R232" s="2692"/>
      <c r="S232" s="2692"/>
      <c r="T232" s="2692"/>
      <c r="U232" s="2729">
        <f t="shared" ref="U232:U233" si="51">U233</f>
        <v>390</v>
      </c>
    </row>
    <row r="233" spans="1:21" ht="31.5" x14ac:dyDescent="0.25">
      <c r="A233" s="1179"/>
      <c r="B233" s="1197" t="s">
        <v>289</v>
      </c>
      <c r="C233" s="409"/>
      <c r="D233" s="409" t="s">
        <v>452</v>
      </c>
      <c r="E233" s="409" t="s">
        <v>534</v>
      </c>
      <c r="F233" s="409" t="s">
        <v>286</v>
      </c>
      <c r="G233" s="1662"/>
      <c r="H233" s="2729">
        <f t="shared" si="49"/>
        <v>350</v>
      </c>
      <c r="I233" s="2730">
        <f t="shared" si="49"/>
        <v>0</v>
      </c>
      <c r="J233" s="2746">
        <f t="shared" si="49"/>
        <v>0</v>
      </c>
      <c r="K233" s="2692"/>
      <c r="L233" s="2692"/>
      <c r="M233" s="2692"/>
      <c r="N233" s="2732">
        <f t="shared" si="50"/>
        <v>370</v>
      </c>
      <c r="O233" s="2692"/>
      <c r="P233" s="2692"/>
      <c r="Q233" s="2692"/>
      <c r="R233" s="2692"/>
      <c r="S233" s="2692"/>
      <c r="T233" s="2692"/>
      <c r="U233" s="2729">
        <f t="shared" si="51"/>
        <v>390</v>
      </c>
    </row>
    <row r="234" spans="1:21" ht="21" x14ac:dyDescent="0.25">
      <c r="A234" s="1179"/>
      <c r="B234" s="1232" t="s">
        <v>287</v>
      </c>
      <c r="C234" s="1217"/>
      <c r="D234" s="1217" t="s">
        <v>452</v>
      </c>
      <c r="E234" s="1217" t="s">
        <v>534</v>
      </c>
      <c r="F234" s="1217" t="s">
        <v>275</v>
      </c>
      <c r="G234" s="1664"/>
      <c r="H234" s="2729">
        <f>H236</f>
        <v>350</v>
      </c>
      <c r="I234" s="2730">
        <f>I236</f>
        <v>0</v>
      </c>
      <c r="J234" s="2746">
        <f>J236</f>
        <v>0</v>
      </c>
      <c r="K234" s="2692"/>
      <c r="L234" s="2692"/>
      <c r="M234" s="2692"/>
      <c r="N234" s="2732">
        <f>N236</f>
        <v>370</v>
      </c>
      <c r="O234" s="2692"/>
      <c r="P234" s="2692"/>
      <c r="Q234" s="2692"/>
      <c r="R234" s="2692"/>
      <c r="S234" s="2692"/>
      <c r="T234" s="2692"/>
      <c r="U234" s="2729">
        <f>U236</f>
        <v>390</v>
      </c>
    </row>
    <row r="235" spans="1:21" x14ac:dyDescent="0.25">
      <c r="A235" s="1179"/>
      <c r="B235" s="753" t="s">
        <v>948</v>
      </c>
      <c r="C235" s="1217"/>
      <c r="D235" s="1217" t="s">
        <v>452</v>
      </c>
      <c r="E235" s="1217" t="s">
        <v>534</v>
      </c>
      <c r="F235" s="1217" t="s">
        <v>275</v>
      </c>
      <c r="G235" s="1664" t="s">
        <v>955</v>
      </c>
      <c r="H235" s="2729">
        <f t="shared" ref="H235:U235" si="52">H236</f>
        <v>350</v>
      </c>
      <c r="I235" s="2730">
        <f t="shared" si="52"/>
        <v>0</v>
      </c>
      <c r="J235" s="2747">
        <f t="shared" si="52"/>
        <v>0</v>
      </c>
      <c r="K235" s="2692">
        <f t="shared" si="52"/>
        <v>0</v>
      </c>
      <c r="L235" s="2692">
        <f t="shared" si="52"/>
        <v>0</v>
      </c>
      <c r="M235" s="2692">
        <f t="shared" si="52"/>
        <v>0</v>
      </c>
      <c r="N235" s="2732">
        <f t="shared" si="52"/>
        <v>370</v>
      </c>
      <c r="O235" s="2692">
        <f t="shared" si="52"/>
        <v>0</v>
      </c>
      <c r="P235" s="2692">
        <f t="shared" si="52"/>
        <v>0</v>
      </c>
      <c r="Q235" s="2692">
        <f t="shared" si="52"/>
        <v>0</v>
      </c>
      <c r="R235" s="2692">
        <f t="shared" si="52"/>
        <v>0</v>
      </c>
      <c r="S235" s="2692">
        <f t="shared" si="52"/>
        <v>0</v>
      </c>
      <c r="T235" s="2692">
        <f t="shared" si="52"/>
        <v>0</v>
      </c>
      <c r="U235" s="2729">
        <f t="shared" si="52"/>
        <v>390</v>
      </c>
    </row>
    <row r="236" spans="1:21" ht="21" x14ac:dyDescent="0.25">
      <c r="A236" s="1179"/>
      <c r="B236" s="1182" t="s">
        <v>454</v>
      </c>
      <c r="C236" s="1217"/>
      <c r="D236" s="1217" t="s">
        <v>452</v>
      </c>
      <c r="E236" s="1217" t="s">
        <v>534</v>
      </c>
      <c r="F236" s="1217" t="s">
        <v>275</v>
      </c>
      <c r="G236" s="1662" t="s">
        <v>1</v>
      </c>
      <c r="H236" s="2729">
        <v>350</v>
      </c>
      <c r="I236" s="2730"/>
      <c r="J236" s="2731"/>
      <c r="K236" s="2692"/>
      <c r="L236" s="2692"/>
      <c r="M236" s="2692"/>
      <c r="N236" s="2732">
        <v>370</v>
      </c>
      <c r="O236" s="2692"/>
      <c r="P236" s="2692"/>
      <c r="Q236" s="2692"/>
      <c r="R236" s="2692"/>
      <c r="S236" s="2692"/>
      <c r="T236" s="2692"/>
      <c r="U236" s="2729">
        <v>390</v>
      </c>
    </row>
    <row r="237" spans="1:21" ht="21" x14ac:dyDescent="0.25">
      <c r="A237" s="1233"/>
      <c r="B237" s="753" t="s">
        <v>499</v>
      </c>
      <c r="C237" s="1180"/>
      <c r="D237" s="409" t="s">
        <v>452</v>
      </c>
      <c r="E237" s="409" t="s">
        <v>534</v>
      </c>
      <c r="F237" s="409" t="s">
        <v>89</v>
      </c>
      <c r="G237" s="1662"/>
      <c r="H237" s="2729">
        <f>H238</f>
        <v>3050.15128</v>
      </c>
      <c r="I237" s="2730">
        <f t="shared" ref="H237:J238" si="53">I238</f>
        <v>0</v>
      </c>
      <c r="J237" s="2746">
        <f t="shared" si="53"/>
        <v>0</v>
      </c>
      <c r="K237" s="2692"/>
      <c r="L237" s="2692"/>
      <c r="M237" s="2692"/>
      <c r="N237" s="2732">
        <f>N238</f>
        <v>98.535229999999999</v>
      </c>
      <c r="O237" s="2692"/>
      <c r="P237" s="2692"/>
      <c r="Q237" s="2692"/>
      <c r="R237" s="2692"/>
      <c r="S237" s="2692"/>
      <c r="T237" s="2692"/>
      <c r="U237" s="2729">
        <f>U238</f>
        <v>1741.2555</v>
      </c>
    </row>
    <row r="238" spans="1:21" x14ac:dyDescent="0.25">
      <c r="A238" s="1179"/>
      <c r="B238" s="753" t="s">
        <v>109</v>
      </c>
      <c r="C238" s="1180"/>
      <c r="D238" s="409" t="s">
        <v>452</v>
      </c>
      <c r="E238" s="409" t="s">
        <v>534</v>
      </c>
      <c r="F238" s="409" t="s">
        <v>84</v>
      </c>
      <c r="G238" s="1662"/>
      <c r="H238" s="2729">
        <f t="shared" si="53"/>
        <v>3050.15128</v>
      </c>
      <c r="I238" s="2730">
        <f t="shared" si="53"/>
        <v>0</v>
      </c>
      <c r="J238" s="2746">
        <f t="shared" si="53"/>
        <v>0</v>
      </c>
      <c r="K238" s="2692"/>
      <c r="L238" s="2692"/>
      <c r="M238" s="2692"/>
      <c r="N238" s="2732">
        <f t="shared" ref="N238" si="54">N239</f>
        <v>98.535229999999999</v>
      </c>
      <c r="O238" s="2692"/>
      <c r="P238" s="2692"/>
      <c r="Q238" s="2692"/>
      <c r="R238" s="2692"/>
      <c r="S238" s="2692"/>
      <c r="T238" s="2692"/>
      <c r="U238" s="2729">
        <f t="shared" ref="U238" si="55">U239</f>
        <v>1741.2555</v>
      </c>
    </row>
    <row r="239" spans="1:21" x14ac:dyDescent="0.25">
      <c r="A239" s="1179"/>
      <c r="B239" s="753" t="s">
        <v>109</v>
      </c>
      <c r="C239" s="1180"/>
      <c r="D239" s="409" t="s">
        <v>452</v>
      </c>
      <c r="E239" s="409" t="s">
        <v>534</v>
      </c>
      <c r="F239" s="409" t="s">
        <v>82</v>
      </c>
      <c r="G239" s="1662"/>
      <c r="H239" s="2729">
        <f>H240+H243+H248+H249</f>
        <v>3050.15128</v>
      </c>
      <c r="I239" s="2730">
        <f>I240+I243+I248</f>
        <v>0</v>
      </c>
      <c r="J239" s="2746">
        <f>J240+J243+J248</f>
        <v>0</v>
      </c>
      <c r="K239" s="2702">
        <f>K242+K245+K248</f>
        <v>94.8</v>
      </c>
      <c r="L239" s="2692"/>
      <c r="M239" s="2692"/>
      <c r="N239" s="2732">
        <f>N240+N243+N248+N249</f>
        <v>98.535229999999999</v>
      </c>
      <c r="O239" s="2692"/>
      <c r="P239" s="2692"/>
      <c r="Q239" s="2692"/>
      <c r="R239" s="2692"/>
      <c r="S239" s="2692"/>
      <c r="T239" s="2692"/>
      <c r="U239" s="2729">
        <f>U240+U243+U248+U249</f>
        <v>1741.2555</v>
      </c>
    </row>
    <row r="240" spans="1:21" x14ac:dyDescent="0.25">
      <c r="A240" s="842"/>
      <c r="B240" s="753" t="s">
        <v>537</v>
      </c>
      <c r="C240" s="409"/>
      <c r="D240" s="409" t="s">
        <v>452</v>
      </c>
      <c r="E240" s="409" t="s">
        <v>534</v>
      </c>
      <c r="F240" s="409" t="s">
        <v>536</v>
      </c>
      <c r="G240" s="1662"/>
      <c r="H240" s="2729">
        <f>H242</f>
        <v>528.04995999999983</v>
      </c>
      <c r="I240" s="2730">
        <f>I242</f>
        <v>0</v>
      </c>
      <c r="J240" s="2746">
        <f>J242</f>
        <v>0</v>
      </c>
      <c r="K240" s="2692"/>
      <c r="L240" s="2692"/>
      <c r="M240" s="2692"/>
      <c r="N240" s="2732">
        <f>N242</f>
        <v>0</v>
      </c>
      <c r="O240" s="2692"/>
      <c r="P240" s="2692"/>
      <c r="Q240" s="2692"/>
      <c r="R240" s="2692"/>
      <c r="S240" s="2692"/>
      <c r="T240" s="2692"/>
      <c r="U240" s="2729">
        <f>U242</f>
        <v>335.20150000000001</v>
      </c>
    </row>
    <row r="241" spans="1:27" x14ac:dyDescent="0.25">
      <c r="A241" s="842"/>
      <c r="B241" s="753" t="s">
        <v>948</v>
      </c>
      <c r="C241" s="409"/>
      <c r="D241" s="1217" t="s">
        <v>452</v>
      </c>
      <c r="E241" s="1217" t="s">
        <v>534</v>
      </c>
      <c r="F241" s="1217" t="s">
        <v>536</v>
      </c>
      <c r="G241" s="1662" t="s">
        <v>955</v>
      </c>
      <c r="H241" s="2729">
        <f t="shared" ref="H241:U241" si="56">H242</f>
        <v>528.04995999999983</v>
      </c>
      <c r="I241" s="2730">
        <f t="shared" si="56"/>
        <v>0</v>
      </c>
      <c r="J241" s="2746">
        <f t="shared" si="56"/>
        <v>0</v>
      </c>
      <c r="K241" s="2692">
        <f t="shared" si="56"/>
        <v>0</v>
      </c>
      <c r="L241" s="2692">
        <f t="shared" si="56"/>
        <v>0</v>
      </c>
      <c r="M241" s="2692">
        <f t="shared" si="56"/>
        <v>0</v>
      </c>
      <c r="N241" s="2732">
        <f t="shared" si="56"/>
        <v>0</v>
      </c>
      <c r="O241" s="2692">
        <f t="shared" si="56"/>
        <v>0</v>
      </c>
      <c r="P241" s="2692">
        <f t="shared" si="56"/>
        <v>0</v>
      </c>
      <c r="Q241" s="2692">
        <f t="shared" si="56"/>
        <v>0</v>
      </c>
      <c r="R241" s="2692">
        <f t="shared" si="56"/>
        <v>0</v>
      </c>
      <c r="S241" s="2692">
        <f t="shared" si="56"/>
        <v>0</v>
      </c>
      <c r="T241" s="2692">
        <f t="shared" si="56"/>
        <v>0</v>
      </c>
      <c r="U241" s="2729">
        <f t="shared" si="56"/>
        <v>335.20150000000001</v>
      </c>
    </row>
    <row r="242" spans="1:27" ht="21" x14ac:dyDescent="0.25">
      <c r="A242" s="1229"/>
      <c r="B242" s="1182" t="s">
        <v>454</v>
      </c>
      <c r="C242" s="1217"/>
      <c r="D242" s="1217" t="s">
        <v>452</v>
      </c>
      <c r="E242" s="1217" t="s">
        <v>534</v>
      </c>
      <c r="F242" s="1217" t="s">
        <v>536</v>
      </c>
      <c r="G242" s="1662" t="s">
        <v>1</v>
      </c>
      <c r="H242" s="2729">
        <f>1754.399-110.158-0.04884-23.708-204.697-344.9372-342.8-200</f>
        <v>528.04995999999983</v>
      </c>
      <c r="I242" s="2730"/>
      <c r="J242" s="2746"/>
      <c r="K242" s="2714"/>
      <c r="L242" s="2692"/>
      <c r="M242" s="2692"/>
      <c r="N242" s="2732">
        <f>700.1-700.1</f>
        <v>0</v>
      </c>
      <c r="O242" s="2692"/>
      <c r="P242" s="2692"/>
      <c r="Q242" s="2692"/>
      <c r="R242" s="2692"/>
      <c r="S242" s="2692"/>
      <c r="T242" s="2692"/>
      <c r="U242" s="2729">
        <f>1142.106-100.24-706.6645</f>
        <v>335.20150000000001</v>
      </c>
    </row>
    <row r="243" spans="1:27" x14ac:dyDescent="0.25">
      <c r="A243" s="842"/>
      <c r="B243" s="753" t="s">
        <v>535</v>
      </c>
      <c r="C243" s="409"/>
      <c r="D243" s="409" t="s">
        <v>452</v>
      </c>
      <c r="E243" s="409" t="s">
        <v>534</v>
      </c>
      <c r="F243" s="409" t="s">
        <v>54</v>
      </c>
      <c r="G243" s="1662"/>
      <c r="H243" s="2729">
        <f>H245</f>
        <v>94.8</v>
      </c>
      <c r="I243" s="2730">
        <f>I245</f>
        <v>0</v>
      </c>
      <c r="J243" s="2746">
        <f>J245</f>
        <v>0</v>
      </c>
      <c r="K243" s="2692"/>
      <c r="L243" s="2692"/>
      <c r="M243" s="2692"/>
      <c r="N243" s="2732">
        <f>N245</f>
        <v>94.8</v>
      </c>
      <c r="O243" s="2692"/>
      <c r="P243" s="2692"/>
      <c r="Q243" s="2692"/>
      <c r="R243" s="2692"/>
      <c r="S243" s="2692"/>
      <c r="T243" s="2692"/>
      <c r="U243" s="2729">
        <f>U245</f>
        <v>94.8</v>
      </c>
    </row>
    <row r="244" spans="1:27" x14ac:dyDescent="0.25">
      <c r="A244" s="842"/>
      <c r="B244" s="753" t="s">
        <v>948</v>
      </c>
      <c r="C244" s="409"/>
      <c r="D244" s="1217" t="s">
        <v>452</v>
      </c>
      <c r="E244" s="1217" t="s">
        <v>534</v>
      </c>
      <c r="F244" s="1217" t="s">
        <v>54</v>
      </c>
      <c r="G244" s="1662" t="s">
        <v>955</v>
      </c>
      <c r="H244" s="2729">
        <f t="shared" ref="H244:U244" si="57">H245</f>
        <v>94.8</v>
      </c>
      <c r="I244" s="2730">
        <f t="shared" si="57"/>
        <v>0</v>
      </c>
      <c r="J244" s="2747">
        <f t="shared" si="57"/>
        <v>0</v>
      </c>
      <c r="K244" s="2692">
        <f t="shared" si="57"/>
        <v>94.8</v>
      </c>
      <c r="L244" s="2692">
        <f t="shared" si="57"/>
        <v>0</v>
      </c>
      <c r="M244" s="2692">
        <f t="shared" si="57"/>
        <v>0</v>
      </c>
      <c r="N244" s="2732">
        <f t="shared" si="57"/>
        <v>94.8</v>
      </c>
      <c r="O244" s="2692">
        <f t="shared" si="57"/>
        <v>0</v>
      </c>
      <c r="P244" s="2692">
        <f t="shared" si="57"/>
        <v>0</v>
      </c>
      <c r="Q244" s="2692">
        <f t="shared" si="57"/>
        <v>0</v>
      </c>
      <c r="R244" s="2692">
        <f t="shared" si="57"/>
        <v>0</v>
      </c>
      <c r="S244" s="2692">
        <f t="shared" si="57"/>
        <v>0</v>
      </c>
      <c r="T244" s="2692">
        <f t="shared" si="57"/>
        <v>0</v>
      </c>
      <c r="U244" s="2729">
        <f t="shared" si="57"/>
        <v>94.8</v>
      </c>
    </row>
    <row r="245" spans="1:27" ht="21" x14ac:dyDescent="0.25">
      <c r="A245" s="1234"/>
      <c r="B245" s="1182" t="s">
        <v>454</v>
      </c>
      <c r="C245" s="1217"/>
      <c r="D245" s="1217" t="s">
        <v>452</v>
      </c>
      <c r="E245" s="1217" t="s">
        <v>534</v>
      </c>
      <c r="F245" s="1217" t="s">
        <v>54</v>
      </c>
      <c r="G245" s="1662" t="s">
        <v>1</v>
      </c>
      <c r="H245" s="2729">
        <v>94.8</v>
      </c>
      <c r="I245" s="2730"/>
      <c r="J245" s="2731"/>
      <c r="K245" s="2692">
        <v>94.8</v>
      </c>
      <c r="L245" s="2692"/>
      <c r="M245" s="2692"/>
      <c r="N245" s="2732">
        <v>94.8</v>
      </c>
      <c r="O245" s="2692"/>
      <c r="P245" s="2692"/>
      <c r="Q245" s="2692"/>
      <c r="R245" s="2692"/>
      <c r="S245" s="2692"/>
      <c r="T245" s="2692"/>
      <c r="U245" s="2729">
        <v>94.8</v>
      </c>
    </row>
    <row r="246" spans="1:27" x14ac:dyDescent="0.25">
      <c r="A246" s="1234"/>
      <c r="B246" s="753" t="s">
        <v>53</v>
      </c>
      <c r="C246" s="409"/>
      <c r="D246" s="409" t="s">
        <v>452</v>
      </c>
      <c r="E246" s="409" t="s">
        <v>534</v>
      </c>
      <c r="F246" s="409" t="s">
        <v>50</v>
      </c>
      <c r="G246" s="1662"/>
      <c r="H246" s="2729">
        <f>H248+H249</f>
        <v>2427.30132</v>
      </c>
      <c r="I246" s="2730">
        <f>I248</f>
        <v>0</v>
      </c>
      <c r="J246" s="2731">
        <f>J248</f>
        <v>0</v>
      </c>
      <c r="K246" s="2692"/>
      <c r="L246" s="2692"/>
      <c r="M246" s="2692"/>
      <c r="N246" s="2732">
        <f>N248+N249</f>
        <v>3.7352300000000014</v>
      </c>
      <c r="O246" s="2692"/>
      <c r="P246" s="2692"/>
      <c r="Q246" s="2692"/>
      <c r="R246" s="2692"/>
      <c r="S246" s="2692"/>
      <c r="T246" s="2692"/>
      <c r="U246" s="2729">
        <f>U248+U249</f>
        <v>1311.2539999999999</v>
      </c>
    </row>
    <row r="247" spans="1:27" x14ac:dyDescent="0.25">
      <c r="A247" s="1234"/>
      <c r="B247" s="753" t="s">
        <v>948</v>
      </c>
      <c r="C247" s="409"/>
      <c r="D247" s="1217" t="s">
        <v>452</v>
      </c>
      <c r="E247" s="1217" t="s">
        <v>534</v>
      </c>
      <c r="F247" s="1217" t="s">
        <v>50</v>
      </c>
      <c r="G247" s="1662" t="s">
        <v>955</v>
      </c>
      <c r="H247" s="2729">
        <f t="shared" ref="H247:U247" si="58">H248</f>
        <v>2427.30132</v>
      </c>
      <c r="I247" s="2730">
        <f t="shared" si="58"/>
        <v>0</v>
      </c>
      <c r="J247" s="2731">
        <f t="shared" si="58"/>
        <v>0</v>
      </c>
      <c r="K247" s="2692">
        <f t="shared" si="58"/>
        <v>0</v>
      </c>
      <c r="L247" s="2692">
        <f t="shared" si="58"/>
        <v>0</v>
      </c>
      <c r="M247" s="2692">
        <f t="shared" si="58"/>
        <v>0</v>
      </c>
      <c r="N247" s="2732">
        <f t="shared" si="58"/>
        <v>3.7352300000000014</v>
      </c>
      <c r="O247" s="2692">
        <f t="shared" si="58"/>
        <v>0</v>
      </c>
      <c r="P247" s="2692">
        <f t="shared" si="58"/>
        <v>0</v>
      </c>
      <c r="Q247" s="2692">
        <f t="shared" si="58"/>
        <v>0</v>
      </c>
      <c r="R247" s="2692">
        <f t="shared" si="58"/>
        <v>0</v>
      </c>
      <c r="S247" s="2692">
        <f t="shared" si="58"/>
        <v>0</v>
      </c>
      <c r="T247" s="2692">
        <f t="shared" si="58"/>
        <v>0</v>
      </c>
      <c r="U247" s="2729">
        <f t="shared" si="58"/>
        <v>1311.2539999999999</v>
      </c>
    </row>
    <row r="248" spans="1:27" ht="21" x14ac:dyDescent="0.25">
      <c r="A248" s="1234"/>
      <c r="B248" s="1182" t="s">
        <v>454</v>
      </c>
      <c r="C248" s="1217"/>
      <c r="D248" s="1217" t="s">
        <v>452</v>
      </c>
      <c r="E248" s="1217" t="s">
        <v>534</v>
      </c>
      <c r="F248" s="1217" t="s">
        <v>50</v>
      </c>
      <c r="G248" s="1662" t="s">
        <v>1</v>
      </c>
      <c r="H248" s="2729">
        <f>3026-600-606+607.30132</f>
        <v>2427.30132</v>
      </c>
      <c r="I248" s="2730"/>
      <c r="J248" s="2731"/>
      <c r="K248" s="2714"/>
      <c r="L248" s="2692"/>
      <c r="M248" s="2692"/>
      <c r="N248" s="2732">
        <f>1680-88.131-1388.13377-200</f>
        <v>3.7352300000000014</v>
      </c>
      <c r="O248" s="2692"/>
      <c r="P248" s="2692"/>
      <c r="Q248" s="2692"/>
      <c r="R248" s="2692"/>
      <c r="S248" s="2692"/>
      <c r="T248" s="2692"/>
      <c r="U248" s="2729">
        <f>1641.634-330.38</f>
        <v>1311.2539999999999</v>
      </c>
      <c r="AA248" s="1">
        <v>-5</v>
      </c>
    </row>
    <row r="249" spans="1:27" hidden="1" x14ac:dyDescent="0.25">
      <c r="A249" s="1234"/>
      <c r="B249" s="1182" t="s">
        <v>622</v>
      </c>
      <c r="C249" s="1217"/>
      <c r="D249" s="1217"/>
      <c r="E249" s="1217"/>
      <c r="F249" s="1217"/>
      <c r="G249" s="1662"/>
      <c r="H249" s="2729"/>
      <c r="I249" s="2730"/>
      <c r="J249" s="2747"/>
      <c r="K249" s="2692"/>
      <c r="L249" s="2692"/>
      <c r="M249" s="2692"/>
      <c r="N249" s="2732"/>
      <c r="O249" s="2692"/>
      <c r="P249" s="2692"/>
      <c r="Q249" s="2692"/>
      <c r="R249" s="2692"/>
      <c r="S249" s="2692"/>
      <c r="T249" s="2692"/>
      <c r="U249" s="2729"/>
    </row>
    <row r="250" spans="1:27" x14ac:dyDescent="0.25">
      <c r="A250" s="1234"/>
      <c r="B250" s="1225" t="s">
        <v>378</v>
      </c>
      <c r="C250" s="1226"/>
      <c r="D250" s="1227" t="s">
        <v>463</v>
      </c>
      <c r="E250" s="1227" t="s">
        <v>459</v>
      </c>
      <c r="F250" s="1227"/>
      <c r="G250" s="1665"/>
      <c r="H250" s="2738">
        <f>H251+H274+H325</f>
        <v>53831.485840000008</v>
      </c>
      <c r="I250" s="2739">
        <f>I251+I274+I325</f>
        <v>17214.18</v>
      </c>
      <c r="J250" s="2740">
        <f>J251+J274+J325</f>
        <v>13826.606</v>
      </c>
      <c r="K250" s="2692"/>
      <c r="L250" s="2692"/>
      <c r="M250" s="2692"/>
      <c r="N250" s="2741">
        <f>N251+N274+N325</f>
        <v>59665.173999999999</v>
      </c>
      <c r="O250" s="2692"/>
      <c r="P250" s="2692"/>
      <c r="Q250" s="2692"/>
      <c r="R250" s="2692"/>
      <c r="S250" s="2692"/>
      <c r="T250" s="2692"/>
      <c r="U250" s="2738">
        <f>U251+U274+U325</f>
        <v>44147.906500000005</v>
      </c>
    </row>
    <row r="251" spans="1:27" x14ac:dyDescent="0.25">
      <c r="A251" s="1229"/>
      <c r="B251" s="1225" t="s">
        <v>11</v>
      </c>
      <c r="C251" s="1227"/>
      <c r="D251" s="1227" t="s">
        <v>463</v>
      </c>
      <c r="E251" s="1227" t="s">
        <v>456</v>
      </c>
      <c r="F251" s="1227"/>
      <c r="G251" s="1665"/>
      <c r="H251" s="2738">
        <f>H261+H252</f>
        <v>1107.4449999999999</v>
      </c>
      <c r="I251" s="2739">
        <f>I261</f>
        <v>0</v>
      </c>
      <c r="J251" s="2740">
        <f>J261</f>
        <v>0</v>
      </c>
      <c r="K251" s="2692"/>
      <c r="L251" s="2692"/>
      <c r="M251" s="2692"/>
      <c r="N251" s="2741">
        <f>N261+N252</f>
        <v>860.798</v>
      </c>
      <c r="O251" s="2692"/>
      <c r="P251" s="2692"/>
      <c r="Q251" s="2692"/>
      <c r="R251" s="2692"/>
      <c r="S251" s="2692"/>
      <c r="T251" s="2692"/>
      <c r="U251" s="2738">
        <f>U261+U252</f>
        <v>860.798</v>
      </c>
    </row>
    <row r="252" spans="1:27" ht="31.5" hidden="1" x14ac:dyDescent="0.25">
      <c r="A252" s="1229"/>
      <c r="B252" s="1203" t="s">
        <v>861</v>
      </c>
      <c r="C252" s="1177"/>
      <c r="D252" s="408" t="s">
        <v>463</v>
      </c>
      <c r="E252" s="408" t="s">
        <v>456</v>
      </c>
      <c r="F252" s="408" t="s">
        <v>468</v>
      </c>
      <c r="G252" s="1661"/>
      <c r="H252" s="2733">
        <f>H253+H257</f>
        <v>0</v>
      </c>
      <c r="I252" s="2739"/>
      <c r="J252" s="2740"/>
      <c r="K252" s="2692"/>
      <c r="L252" s="2692"/>
      <c r="M252" s="2692"/>
      <c r="N252" s="2737"/>
      <c r="O252" s="2692"/>
      <c r="P252" s="2692"/>
      <c r="Q252" s="2692"/>
      <c r="R252" s="2692"/>
      <c r="S252" s="2692"/>
      <c r="T252" s="2692"/>
      <c r="U252" s="2733"/>
    </row>
    <row r="253" spans="1:27" hidden="1" x14ac:dyDescent="0.25">
      <c r="A253" s="1229"/>
      <c r="B253" s="1203" t="s">
        <v>849</v>
      </c>
      <c r="C253" s="1180"/>
      <c r="D253" s="409" t="s">
        <v>463</v>
      </c>
      <c r="E253" s="409" t="s">
        <v>456</v>
      </c>
      <c r="F253" s="409" t="s">
        <v>854</v>
      </c>
      <c r="G253" s="1662"/>
      <c r="H253" s="2729">
        <f>H254</f>
        <v>0</v>
      </c>
      <c r="I253" s="2739"/>
      <c r="J253" s="2740"/>
      <c r="K253" s="2702">
        <v>186.20699999999999</v>
      </c>
      <c r="L253" s="2692"/>
      <c r="M253" s="2692"/>
      <c r="N253" s="2732"/>
      <c r="O253" s="2692"/>
      <c r="P253" s="2692"/>
      <c r="Q253" s="2692"/>
      <c r="R253" s="2692"/>
      <c r="S253" s="2692"/>
      <c r="T253" s="2692"/>
      <c r="U253" s="2729"/>
    </row>
    <row r="254" spans="1:27" hidden="1" x14ac:dyDescent="0.25">
      <c r="A254" s="1229"/>
      <c r="B254" s="1203" t="s">
        <v>850</v>
      </c>
      <c r="C254" s="1180"/>
      <c r="D254" s="409" t="s">
        <v>463</v>
      </c>
      <c r="E254" s="409" t="s">
        <v>456</v>
      </c>
      <c r="F254" s="409" t="s">
        <v>855</v>
      </c>
      <c r="G254" s="1662"/>
      <c r="H254" s="2729">
        <f>H255</f>
        <v>0</v>
      </c>
      <c r="I254" s="2739"/>
      <c r="J254" s="2740"/>
      <c r="K254" s="2692"/>
      <c r="L254" s="2692"/>
      <c r="M254" s="2692"/>
      <c r="N254" s="2732"/>
      <c r="O254" s="2692"/>
      <c r="P254" s="2692"/>
      <c r="Q254" s="2692"/>
      <c r="R254" s="2692"/>
      <c r="S254" s="2692"/>
      <c r="T254" s="2692"/>
      <c r="U254" s="2729"/>
    </row>
    <row r="255" spans="1:27" ht="31.5" hidden="1" x14ac:dyDescent="0.25">
      <c r="A255" s="1229"/>
      <c r="B255" s="1232" t="s">
        <v>851</v>
      </c>
      <c r="C255" s="1180"/>
      <c r="D255" s="409" t="s">
        <v>463</v>
      </c>
      <c r="E255" s="409" t="s">
        <v>456</v>
      </c>
      <c r="F255" s="1864" t="s">
        <v>856</v>
      </c>
      <c r="G255" s="1662"/>
      <c r="H255" s="2729">
        <f>H256</f>
        <v>0</v>
      </c>
      <c r="I255" s="2739"/>
      <c r="J255" s="2740"/>
      <c r="K255" s="2692"/>
      <c r="L255" s="2692"/>
      <c r="M255" s="2692"/>
      <c r="N255" s="2732"/>
      <c r="O255" s="2692"/>
      <c r="P255" s="2692"/>
      <c r="Q255" s="2692"/>
      <c r="R255" s="2692"/>
      <c r="S255" s="2692"/>
      <c r="T255" s="2692"/>
      <c r="U255" s="2729"/>
    </row>
    <row r="256" spans="1:27" hidden="1" x14ac:dyDescent="0.25">
      <c r="A256" s="1229"/>
      <c r="B256" s="1236" t="s">
        <v>497</v>
      </c>
      <c r="C256" s="1183"/>
      <c r="D256" s="409" t="s">
        <v>463</v>
      </c>
      <c r="E256" s="409" t="s">
        <v>456</v>
      </c>
      <c r="F256" s="1864" t="s">
        <v>856</v>
      </c>
      <c r="G256" s="1662" t="s">
        <v>77</v>
      </c>
      <c r="H256" s="2748"/>
      <c r="I256" s="2739"/>
      <c r="J256" s="2740"/>
      <c r="K256" s="2692">
        <v>130.441</v>
      </c>
      <c r="L256" s="2692"/>
      <c r="M256" s="2692"/>
      <c r="N256" s="2749"/>
      <c r="O256" s="2692"/>
      <c r="P256" s="2692"/>
      <c r="Q256" s="2692"/>
      <c r="R256" s="2692"/>
      <c r="S256" s="2692"/>
      <c r="T256" s="2692"/>
      <c r="U256" s="2748"/>
    </row>
    <row r="257" spans="1:21" ht="21" hidden="1" x14ac:dyDescent="0.25">
      <c r="A257" s="1229"/>
      <c r="B257" s="1203" t="s">
        <v>853</v>
      </c>
      <c r="C257" s="1183"/>
      <c r="D257" s="409" t="s">
        <v>463</v>
      </c>
      <c r="E257" s="409" t="s">
        <v>456</v>
      </c>
      <c r="F257" s="1864" t="s">
        <v>857</v>
      </c>
      <c r="G257" s="1662"/>
      <c r="H257" s="2748">
        <f>H258</f>
        <v>0</v>
      </c>
      <c r="I257" s="2739"/>
      <c r="J257" s="2740"/>
      <c r="K257" s="2692"/>
      <c r="L257" s="2692"/>
      <c r="M257" s="2692"/>
      <c r="N257" s="2749"/>
      <c r="O257" s="2692"/>
      <c r="P257" s="2692"/>
      <c r="Q257" s="2692"/>
      <c r="R257" s="2692"/>
      <c r="S257" s="2692"/>
      <c r="T257" s="2692"/>
      <c r="U257" s="2748"/>
    </row>
    <row r="258" spans="1:21" hidden="1" x14ac:dyDescent="0.25">
      <c r="A258" s="1229"/>
      <c r="B258" s="1203" t="s">
        <v>850</v>
      </c>
      <c r="C258" s="1183"/>
      <c r="D258" s="409" t="s">
        <v>463</v>
      </c>
      <c r="E258" s="409" t="s">
        <v>456</v>
      </c>
      <c r="F258" s="409" t="s">
        <v>858</v>
      </c>
      <c r="G258" s="1662"/>
      <c r="H258" s="2748">
        <f>H259</f>
        <v>0</v>
      </c>
      <c r="I258" s="2739"/>
      <c r="J258" s="2740"/>
      <c r="K258" s="2692"/>
      <c r="L258" s="2692"/>
      <c r="M258" s="2692"/>
      <c r="N258" s="2749"/>
      <c r="O258" s="2692"/>
      <c r="P258" s="2692"/>
      <c r="Q258" s="2692"/>
      <c r="R258" s="2692"/>
      <c r="S258" s="2692"/>
      <c r="T258" s="2692"/>
      <c r="U258" s="2748"/>
    </row>
    <row r="259" spans="1:21" ht="31.5" hidden="1" x14ac:dyDescent="0.25">
      <c r="A259" s="1229"/>
      <c r="B259" s="1203" t="s">
        <v>851</v>
      </c>
      <c r="C259" s="1183"/>
      <c r="D259" s="409" t="s">
        <v>463</v>
      </c>
      <c r="E259" s="409" t="s">
        <v>456</v>
      </c>
      <c r="F259" s="1864" t="s">
        <v>859</v>
      </c>
      <c r="G259" s="1662"/>
      <c r="H259" s="2748">
        <f>H260</f>
        <v>0</v>
      </c>
      <c r="I259" s="2739"/>
      <c r="J259" s="2740"/>
      <c r="K259" s="2692"/>
      <c r="L259" s="2692"/>
      <c r="M259" s="2692"/>
      <c r="N259" s="2749"/>
      <c r="O259" s="2692"/>
      <c r="P259" s="2692"/>
      <c r="Q259" s="2692"/>
      <c r="R259" s="2692"/>
      <c r="S259" s="2692"/>
      <c r="T259" s="2692"/>
      <c r="U259" s="2748"/>
    </row>
    <row r="260" spans="1:21" hidden="1" x14ac:dyDescent="0.25">
      <c r="A260" s="1229"/>
      <c r="B260" s="1236" t="s">
        <v>497</v>
      </c>
      <c r="C260" s="1183"/>
      <c r="D260" s="409" t="s">
        <v>463</v>
      </c>
      <c r="E260" s="409" t="s">
        <v>456</v>
      </c>
      <c r="F260" s="1864" t="s">
        <v>859</v>
      </c>
      <c r="G260" s="1662" t="s">
        <v>77</v>
      </c>
      <c r="H260" s="2748"/>
      <c r="I260" s="2739"/>
      <c r="J260" s="2740"/>
      <c r="K260" s="2692">
        <v>55.765999999999998</v>
      </c>
      <c r="L260" s="2692"/>
      <c r="M260" s="2692"/>
      <c r="N260" s="2749"/>
      <c r="O260" s="2692"/>
      <c r="P260" s="2692"/>
      <c r="Q260" s="2692"/>
      <c r="R260" s="2692"/>
      <c r="S260" s="2692"/>
      <c r="T260" s="2692"/>
      <c r="U260" s="2748"/>
    </row>
    <row r="261" spans="1:21" ht="22.5" customHeight="1" x14ac:dyDescent="0.25">
      <c r="A261" s="1233"/>
      <c r="B261" s="753" t="s">
        <v>499</v>
      </c>
      <c r="C261" s="1180"/>
      <c r="D261" s="409" t="s">
        <v>463</v>
      </c>
      <c r="E261" s="409" t="s">
        <v>456</v>
      </c>
      <c r="F261" s="409" t="s">
        <v>89</v>
      </c>
      <c r="G261" s="1662"/>
      <c r="H261" s="2729">
        <f t="shared" ref="H261:J262" si="59">H262</f>
        <v>1107.4449999999999</v>
      </c>
      <c r="I261" s="2730">
        <f t="shared" si="59"/>
        <v>0</v>
      </c>
      <c r="J261" s="2746">
        <f t="shared" si="59"/>
        <v>0</v>
      </c>
      <c r="K261" s="2692"/>
      <c r="L261" s="2692"/>
      <c r="M261" s="2692"/>
      <c r="N261" s="2732">
        <f t="shared" ref="N261:N262" si="60">N262</f>
        <v>860.798</v>
      </c>
      <c r="O261" s="2692"/>
      <c r="P261" s="2692"/>
      <c r="Q261" s="2692"/>
      <c r="R261" s="2692"/>
      <c r="S261" s="2692"/>
      <c r="T261" s="2692"/>
      <c r="U261" s="2729">
        <f t="shared" ref="U261:U262" si="61">U262</f>
        <v>860.798</v>
      </c>
    </row>
    <row r="262" spans="1:21" x14ac:dyDescent="0.25">
      <c r="A262" s="1179"/>
      <c r="B262" s="753" t="s">
        <v>109</v>
      </c>
      <c r="C262" s="1180"/>
      <c r="D262" s="409" t="s">
        <v>463</v>
      </c>
      <c r="E262" s="409" t="s">
        <v>456</v>
      </c>
      <c r="F262" s="409" t="s">
        <v>84</v>
      </c>
      <c r="G262" s="1662"/>
      <c r="H262" s="2729">
        <f t="shared" si="59"/>
        <v>1107.4449999999999</v>
      </c>
      <c r="I262" s="2730">
        <f t="shared" si="59"/>
        <v>0</v>
      </c>
      <c r="J262" s="2746">
        <f t="shared" si="59"/>
        <v>0</v>
      </c>
      <c r="K262" s="2692"/>
      <c r="L262" s="2692"/>
      <c r="M262" s="2692"/>
      <c r="N262" s="2732">
        <f t="shared" si="60"/>
        <v>860.798</v>
      </c>
      <c r="O262" s="2692"/>
      <c r="P262" s="2692"/>
      <c r="Q262" s="2692"/>
      <c r="R262" s="2692"/>
      <c r="S262" s="2692"/>
      <c r="T262" s="2692"/>
      <c r="U262" s="2729">
        <f t="shared" si="61"/>
        <v>860.798</v>
      </c>
    </row>
    <row r="263" spans="1:21" x14ac:dyDescent="0.25">
      <c r="A263" s="1179"/>
      <c r="B263" s="753" t="s">
        <v>109</v>
      </c>
      <c r="C263" s="1180"/>
      <c r="D263" s="409" t="s">
        <v>463</v>
      </c>
      <c r="E263" s="409" t="s">
        <v>456</v>
      </c>
      <c r="F263" s="409" t="s">
        <v>82</v>
      </c>
      <c r="G263" s="1662"/>
      <c r="H263" s="2729">
        <f>H264+H266+H271+H269</f>
        <v>1107.4449999999999</v>
      </c>
      <c r="I263" s="2730">
        <f>I264+I266+I271</f>
        <v>0</v>
      </c>
      <c r="J263" s="2746">
        <f>J264+J266+J271</f>
        <v>0</v>
      </c>
      <c r="K263" s="2692"/>
      <c r="L263" s="2692"/>
      <c r="M263" s="2692"/>
      <c r="N263" s="2732">
        <f>N264+N266+N271</f>
        <v>860.798</v>
      </c>
      <c r="O263" s="2692"/>
      <c r="P263" s="2692"/>
      <c r="Q263" s="2692"/>
      <c r="R263" s="2692"/>
      <c r="S263" s="2692"/>
      <c r="T263" s="2692"/>
      <c r="U263" s="2729">
        <f>U264+U266+U271</f>
        <v>860.798</v>
      </c>
    </row>
    <row r="264" spans="1:21" hidden="1" x14ac:dyDescent="0.25">
      <c r="A264" s="842"/>
      <c r="B264" s="753" t="s">
        <v>533</v>
      </c>
      <c r="C264" s="409"/>
      <c r="D264" s="409" t="s">
        <v>463</v>
      </c>
      <c r="E264" s="409" t="s">
        <v>456</v>
      </c>
      <c r="F264" s="409" t="s">
        <v>30</v>
      </c>
      <c r="G264" s="1662"/>
      <c r="H264" s="1682">
        <f>H265</f>
        <v>0</v>
      </c>
      <c r="I264" s="529">
        <f>I265</f>
        <v>0</v>
      </c>
      <c r="J264" s="270">
        <f>J265</f>
        <v>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t="21" hidden="1" x14ac:dyDescent="0.25">
      <c r="A265" s="1229"/>
      <c r="B265" s="1182" t="s">
        <v>454</v>
      </c>
      <c r="C265" s="409"/>
      <c r="D265" s="1217" t="s">
        <v>463</v>
      </c>
      <c r="E265" s="1217" t="s">
        <v>456</v>
      </c>
      <c r="F265" s="409" t="s">
        <v>30</v>
      </c>
      <c r="G265" s="1662" t="s">
        <v>1</v>
      </c>
      <c r="H265" s="1682">
        <v>0</v>
      </c>
      <c r="I265" s="529"/>
      <c r="J265" s="269"/>
      <c r="K265" s="1858"/>
      <c r="L265" s="1858"/>
      <c r="M265" s="1858"/>
      <c r="N265" s="1200">
        <v>0</v>
      </c>
      <c r="O265" s="1858"/>
      <c r="P265" s="1858"/>
      <c r="Q265" s="1858"/>
      <c r="R265" s="1858"/>
      <c r="S265" s="1858"/>
      <c r="T265" s="1858"/>
      <c r="U265" s="1682">
        <v>0</v>
      </c>
    </row>
    <row r="266" spans="1:21" x14ac:dyDescent="0.25">
      <c r="A266" s="842"/>
      <c r="B266" s="753" t="s">
        <v>532</v>
      </c>
      <c r="C266" s="409"/>
      <c r="D266" s="409" t="s">
        <v>463</v>
      </c>
      <c r="E266" s="409" t="s">
        <v>456</v>
      </c>
      <c r="F266" s="409" t="s">
        <v>531</v>
      </c>
      <c r="G266" s="1662"/>
      <c r="H266" s="2729">
        <f>H268</f>
        <v>46.317999999999998</v>
      </c>
      <c r="I266" s="2730">
        <f>I268</f>
        <v>0</v>
      </c>
      <c r="J266" s="2731">
        <f>J268</f>
        <v>0</v>
      </c>
      <c r="K266" s="2692"/>
      <c r="L266" s="2692"/>
      <c r="M266" s="2692"/>
      <c r="N266" s="2732">
        <f>N268</f>
        <v>0</v>
      </c>
      <c r="O266" s="2692"/>
      <c r="P266" s="2692"/>
      <c r="Q266" s="2692"/>
      <c r="R266" s="2692"/>
      <c r="S266" s="2692"/>
      <c r="T266" s="2692"/>
      <c r="U266" s="2729">
        <f>U268</f>
        <v>0</v>
      </c>
    </row>
    <row r="267" spans="1:21" x14ac:dyDescent="0.25">
      <c r="A267" s="842"/>
      <c r="B267" s="753" t="s">
        <v>948</v>
      </c>
      <c r="C267" s="409"/>
      <c r="D267" s="409" t="s">
        <v>463</v>
      </c>
      <c r="E267" s="409" t="s">
        <v>456</v>
      </c>
      <c r="F267" s="409" t="s">
        <v>531</v>
      </c>
      <c r="G267" s="1662" t="s">
        <v>955</v>
      </c>
      <c r="H267" s="2729">
        <f>H268</f>
        <v>46.317999999999998</v>
      </c>
      <c r="I267" s="2730"/>
      <c r="J267" s="2731"/>
      <c r="K267" s="2692"/>
      <c r="L267" s="2692"/>
      <c r="M267" s="2692"/>
      <c r="N267" s="2732">
        <f>N268</f>
        <v>0</v>
      </c>
      <c r="O267" s="2692"/>
      <c r="P267" s="2692"/>
      <c r="Q267" s="2692"/>
      <c r="R267" s="2692"/>
      <c r="S267" s="2692"/>
      <c r="T267" s="2692"/>
      <c r="U267" s="2729">
        <f>U268</f>
        <v>0</v>
      </c>
    </row>
    <row r="268" spans="1:21" ht="21" x14ac:dyDescent="0.25">
      <c r="A268" s="1229"/>
      <c r="B268" s="1182" t="s">
        <v>454</v>
      </c>
      <c r="C268" s="409"/>
      <c r="D268" s="1217" t="s">
        <v>463</v>
      </c>
      <c r="E268" s="1217" t="s">
        <v>456</v>
      </c>
      <c r="F268" s="1217" t="s">
        <v>531</v>
      </c>
      <c r="G268" s="1662" t="s">
        <v>1</v>
      </c>
      <c r="H268" s="2729">
        <v>46.317999999999998</v>
      </c>
      <c r="I268" s="2730"/>
      <c r="J268" s="2731"/>
      <c r="K268" s="2692"/>
      <c r="L268" s="2692"/>
      <c r="M268" s="2692"/>
      <c r="N268" s="2732">
        <v>0</v>
      </c>
      <c r="O268" s="2692"/>
      <c r="P268" s="2692"/>
      <c r="Q268" s="2692"/>
      <c r="R268" s="2692"/>
      <c r="S268" s="2692"/>
      <c r="T268" s="2692"/>
      <c r="U268" s="2729">
        <v>0</v>
      </c>
    </row>
    <row r="269" spans="1:21" hidden="1" x14ac:dyDescent="0.25">
      <c r="A269" s="1229"/>
      <c r="B269" s="753" t="s">
        <v>1007</v>
      </c>
      <c r="C269" s="409"/>
      <c r="D269" s="409" t="s">
        <v>463</v>
      </c>
      <c r="E269" s="409" t="s">
        <v>456</v>
      </c>
      <c r="F269" s="1217" t="s">
        <v>30</v>
      </c>
      <c r="G269" s="1662"/>
      <c r="H269" s="2729">
        <f>H270</f>
        <v>0</v>
      </c>
      <c r="I269" s="2730"/>
      <c r="J269" s="2731"/>
      <c r="K269" s="2692"/>
      <c r="L269" s="2692"/>
      <c r="M269" s="2692"/>
      <c r="N269" s="2732"/>
      <c r="O269" s="2692"/>
      <c r="P269" s="2692"/>
      <c r="Q269" s="2692"/>
      <c r="R269" s="2692"/>
      <c r="S269" s="2692"/>
      <c r="T269" s="2692"/>
      <c r="U269" s="2729"/>
    </row>
    <row r="270" spans="1:21" ht="21" hidden="1" x14ac:dyDescent="0.25">
      <c r="A270" s="1229"/>
      <c r="B270" s="1182" t="s">
        <v>454</v>
      </c>
      <c r="C270" s="409"/>
      <c r="D270" s="409" t="s">
        <v>463</v>
      </c>
      <c r="E270" s="409" t="s">
        <v>456</v>
      </c>
      <c r="F270" s="1217" t="s">
        <v>30</v>
      </c>
      <c r="G270" s="1662" t="s">
        <v>1</v>
      </c>
      <c r="H270" s="2729"/>
      <c r="I270" s="2730"/>
      <c r="J270" s="2731"/>
      <c r="K270" s="2692"/>
      <c r="L270" s="2692"/>
      <c r="M270" s="2692"/>
      <c r="N270" s="2732"/>
      <c r="O270" s="2692"/>
      <c r="P270" s="2692"/>
      <c r="Q270" s="2692"/>
      <c r="R270" s="2692"/>
      <c r="S270" s="2692"/>
      <c r="T270" s="2692"/>
      <c r="U270" s="2729"/>
    </row>
    <row r="271" spans="1:21" x14ac:dyDescent="0.25">
      <c r="A271" s="842"/>
      <c r="B271" s="753" t="s">
        <v>12</v>
      </c>
      <c r="C271" s="409"/>
      <c r="D271" s="409" t="s">
        <v>463</v>
      </c>
      <c r="E271" s="409" t="s">
        <v>456</v>
      </c>
      <c r="F271" s="409" t="s">
        <v>10</v>
      </c>
      <c r="G271" s="1662"/>
      <c r="H271" s="2729">
        <f>H273</f>
        <v>1061.127</v>
      </c>
      <c r="I271" s="2730">
        <f>I273</f>
        <v>0</v>
      </c>
      <c r="J271" s="2731">
        <f>J273</f>
        <v>0</v>
      </c>
      <c r="K271" s="2692"/>
      <c r="L271" s="2692"/>
      <c r="M271" s="2692"/>
      <c r="N271" s="2732">
        <f>N273</f>
        <v>860.798</v>
      </c>
      <c r="O271" s="2692"/>
      <c r="P271" s="2692"/>
      <c r="Q271" s="2692"/>
      <c r="R271" s="2692"/>
      <c r="S271" s="2692"/>
      <c r="T271" s="2692"/>
      <c r="U271" s="2729">
        <f>U273</f>
        <v>860.798</v>
      </c>
    </row>
    <row r="272" spans="1:21" x14ac:dyDescent="0.25">
      <c r="A272" s="842"/>
      <c r="B272" s="753" t="s">
        <v>948</v>
      </c>
      <c r="C272" s="409"/>
      <c r="D272" s="1217" t="s">
        <v>463</v>
      </c>
      <c r="E272" s="1217" t="s">
        <v>456</v>
      </c>
      <c r="F272" s="1217" t="s">
        <v>10</v>
      </c>
      <c r="G272" s="1662" t="s">
        <v>955</v>
      </c>
      <c r="H272" s="2729">
        <f t="shared" ref="H272:U272" si="62">H273</f>
        <v>1061.127</v>
      </c>
      <c r="I272" s="2730">
        <f t="shared" si="62"/>
        <v>0</v>
      </c>
      <c r="J272" s="2731">
        <f t="shared" si="62"/>
        <v>0</v>
      </c>
      <c r="K272" s="2692">
        <f t="shared" si="62"/>
        <v>0</v>
      </c>
      <c r="L272" s="2692">
        <f t="shared" si="62"/>
        <v>0</v>
      </c>
      <c r="M272" s="2692">
        <f t="shared" si="62"/>
        <v>0</v>
      </c>
      <c r="N272" s="2732">
        <f t="shared" si="62"/>
        <v>860.798</v>
      </c>
      <c r="O272" s="2692">
        <f t="shared" si="62"/>
        <v>0</v>
      </c>
      <c r="P272" s="2692">
        <f t="shared" si="62"/>
        <v>0</v>
      </c>
      <c r="Q272" s="2692">
        <f t="shared" si="62"/>
        <v>0</v>
      </c>
      <c r="R272" s="2692">
        <f t="shared" si="62"/>
        <v>0</v>
      </c>
      <c r="S272" s="2692">
        <f t="shared" si="62"/>
        <v>0</v>
      </c>
      <c r="T272" s="2692">
        <f t="shared" si="62"/>
        <v>0</v>
      </c>
      <c r="U272" s="2729">
        <f t="shared" si="62"/>
        <v>860.798</v>
      </c>
    </row>
    <row r="273" spans="1:27" ht="21" x14ac:dyDescent="0.25">
      <c r="A273" s="1229"/>
      <c r="B273" s="1182" t="s">
        <v>454</v>
      </c>
      <c r="C273" s="409"/>
      <c r="D273" s="1217" t="s">
        <v>463</v>
      </c>
      <c r="E273" s="1217" t="s">
        <v>456</v>
      </c>
      <c r="F273" s="1217" t="s">
        <v>10</v>
      </c>
      <c r="G273" s="1662" t="s">
        <v>1</v>
      </c>
      <c r="H273" s="2729">
        <f>860.797+200.33</f>
        <v>1061.127</v>
      </c>
      <c r="I273" s="2730"/>
      <c r="J273" s="2731"/>
      <c r="K273" s="2702"/>
      <c r="L273" s="2692"/>
      <c r="M273" s="2692"/>
      <c r="N273" s="2732">
        <v>860.798</v>
      </c>
      <c r="O273" s="2692"/>
      <c r="P273" s="2692"/>
      <c r="Q273" s="2692"/>
      <c r="R273" s="2692"/>
      <c r="S273" s="2692"/>
      <c r="T273" s="2692"/>
      <c r="U273" s="2729">
        <v>860.798</v>
      </c>
    </row>
    <row r="274" spans="1:27" x14ac:dyDescent="0.25">
      <c r="A274" s="1234"/>
      <c r="B274" s="1225" t="s">
        <v>530</v>
      </c>
      <c r="C274" s="1227"/>
      <c r="D274" s="1227" t="s">
        <v>463</v>
      </c>
      <c r="E274" s="1227" t="s">
        <v>488</v>
      </c>
      <c r="F274" s="1227"/>
      <c r="G274" s="1665"/>
      <c r="H274" s="2738">
        <f>H275+H285+H316</f>
        <v>9779.0418400000017</v>
      </c>
      <c r="I274" s="2739">
        <f>I275+I285+I298</f>
        <v>3670.8</v>
      </c>
      <c r="J274" s="2740">
        <f>J275+J285+J298</f>
        <v>4037.88</v>
      </c>
      <c r="K274" s="2692"/>
      <c r="L274" s="2692"/>
      <c r="M274" s="2692"/>
      <c r="N274" s="2741">
        <f>N275+N285</f>
        <v>8792.4520000000011</v>
      </c>
      <c r="O274" s="2692"/>
      <c r="P274" s="2692"/>
      <c r="Q274" s="2692"/>
      <c r="R274" s="2692"/>
      <c r="S274" s="2692"/>
      <c r="T274" s="2692"/>
      <c r="U274" s="2738">
        <f>U275+U285</f>
        <v>3820.3919999999998</v>
      </c>
    </row>
    <row r="275" spans="1:27" ht="21" x14ac:dyDescent="0.25">
      <c r="A275" s="1234"/>
      <c r="B275" s="1238" t="s">
        <v>884</v>
      </c>
      <c r="C275" s="409"/>
      <c r="D275" s="409" t="s">
        <v>463</v>
      </c>
      <c r="E275" s="409" t="s">
        <v>488</v>
      </c>
      <c r="F275" s="409" t="s">
        <v>196</v>
      </c>
      <c r="G275" s="1662"/>
      <c r="H275" s="2729">
        <f>H276</f>
        <v>9422.8870000000006</v>
      </c>
      <c r="I275" s="2730">
        <f t="shared" ref="I275:J276" si="63">I276</f>
        <v>0</v>
      </c>
      <c r="J275" s="2746">
        <f t="shared" si="63"/>
        <v>0</v>
      </c>
      <c r="K275" s="2702">
        <f>K279</f>
        <v>0</v>
      </c>
      <c r="L275" s="2692"/>
      <c r="M275" s="2692"/>
      <c r="N275" s="2732">
        <f>N276</f>
        <v>7792.4520000000002</v>
      </c>
      <c r="O275" s="2692"/>
      <c r="P275" s="2692"/>
      <c r="Q275" s="2692"/>
      <c r="R275" s="2692"/>
      <c r="S275" s="2692"/>
      <c r="T275" s="2692"/>
      <c r="U275" s="2729">
        <f t="shared" ref="U275" si="64">U276</f>
        <v>2492.16</v>
      </c>
    </row>
    <row r="276" spans="1:27" x14ac:dyDescent="0.25">
      <c r="A276" s="1234"/>
      <c r="B276" s="1203" t="s">
        <v>195</v>
      </c>
      <c r="C276" s="409"/>
      <c r="D276" s="1217" t="s">
        <v>463</v>
      </c>
      <c r="E276" s="1217" t="s">
        <v>488</v>
      </c>
      <c r="F276" s="409" t="s">
        <v>194</v>
      </c>
      <c r="G276" s="1662"/>
      <c r="H276" s="2729">
        <f>H281+H284</f>
        <v>9422.8870000000006</v>
      </c>
      <c r="I276" s="2730">
        <f t="shared" si="63"/>
        <v>0</v>
      </c>
      <c r="J276" s="2746">
        <f t="shared" si="63"/>
        <v>0</v>
      </c>
      <c r="K276" s="2692"/>
      <c r="L276" s="2692"/>
      <c r="M276" s="2692"/>
      <c r="N276" s="2732">
        <f>N281+N284</f>
        <v>7792.4520000000002</v>
      </c>
      <c r="O276" s="2692"/>
      <c r="P276" s="2692"/>
      <c r="Q276" s="2692"/>
      <c r="R276" s="2692"/>
      <c r="S276" s="2692"/>
      <c r="T276" s="2692"/>
      <c r="U276" s="2729">
        <f>U277+U284</f>
        <v>2492.16</v>
      </c>
    </row>
    <row r="277" spans="1:27" ht="21" x14ac:dyDescent="0.25">
      <c r="A277" s="1234"/>
      <c r="B277" s="1239" t="s">
        <v>1190</v>
      </c>
      <c r="C277" s="1217"/>
      <c r="D277" s="1217" t="s">
        <v>463</v>
      </c>
      <c r="E277" s="1217" t="s">
        <v>488</v>
      </c>
      <c r="F277" s="1217" t="s">
        <v>191</v>
      </c>
      <c r="G277" s="1664"/>
      <c r="H277" s="2729">
        <f>H280</f>
        <v>1546.097</v>
      </c>
      <c r="I277" s="2730">
        <f>I279</f>
        <v>0</v>
      </c>
      <c r="J277" s="2746">
        <f>J279</f>
        <v>0</v>
      </c>
      <c r="K277" s="2692"/>
      <c r="L277" s="2692"/>
      <c r="M277" s="2692"/>
      <c r="N277" s="2732">
        <f>N280</f>
        <v>1840.0219999999999</v>
      </c>
      <c r="O277" s="2692"/>
      <c r="P277" s="2692"/>
      <c r="Q277" s="2692"/>
      <c r="R277" s="2692"/>
      <c r="S277" s="2692"/>
      <c r="T277" s="2692"/>
      <c r="U277" s="2729">
        <f>U279</f>
        <v>0</v>
      </c>
    </row>
    <row r="278" spans="1:27" hidden="1" x14ac:dyDescent="0.25">
      <c r="A278" s="1234"/>
      <c r="B278" s="753" t="s">
        <v>948</v>
      </c>
      <c r="C278" s="1217"/>
      <c r="D278" s="1217" t="s">
        <v>463</v>
      </c>
      <c r="E278" s="1217" t="s">
        <v>488</v>
      </c>
      <c r="F278" s="1217" t="s">
        <v>191</v>
      </c>
      <c r="G278" s="1664" t="s">
        <v>955</v>
      </c>
      <c r="H278" s="2729">
        <f t="shared" ref="H278:U278" si="65">H279</f>
        <v>0</v>
      </c>
      <c r="I278" s="2730">
        <f t="shared" si="65"/>
        <v>0</v>
      </c>
      <c r="J278" s="2747">
        <f t="shared" si="65"/>
        <v>0</v>
      </c>
      <c r="K278" s="2692">
        <f t="shared" si="65"/>
        <v>0</v>
      </c>
      <c r="L278" s="2692">
        <f t="shared" si="65"/>
        <v>0</v>
      </c>
      <c r="M278" s="2692">
        <f t="shared" si="65"/>
        <v>0</v>
      </c>
      <c r="N278" s="2732">
        <f t="shared" si="65"/>
        <v>0</v>
      </c>
      <c r="O278" s="2692">
        <f t="shared" si="65"/>
        <v>0</v>
      </c>
      <c r="P278" s="2692">
        <f t="shared" si="65"/>
        <v>0</v>
      </c>
      <c r="Q278" s="2692">
        <f t="shared" si="65"/>
        <v>0</v>
      </c>
      <c r="R278" s="2692">
        <f t="shared" si="65"/>
        <v>0</v>
      </c>
      <c r="S278" s="2692">
        <f t="shared" si="65"/>
        <v>0</v>
      </c>
      <c r="T278" s="2692">
        <f t="shared" si="65"/>
        <v>0</v>
      </c>
      <c r="U278" s="2729">
        <f t="shared" si="65"/>
        <v>0</v>
      </c>
    </row>
    <row r="279" spans="1:27" ht="21" hidden="1" x14ac:dyDescent="0.25">
      <c r="A279" s="1234"/>
      <c r="B279" s="1182" t="s">
        <v>454</v>
      </c>
      <c r="C279" s="409"/>
      <c r="D279" s="1217" t="s">
        <v>463</v>
      </c>
      <c r="E279" s="1217" t="s">
        <v>488</v>
      </c>
      <c r="F279" s="1217" t="s">
        <v>191</v>
      </c>
      <c r="G279" s="1662" t="s">
        <v>1</v>
      </c>
      <c r="H279" s="2729">
        <v>0</v>
      </c>
      <c r="I279" s="2730"/>
      <c r="J279" s="2731"/>
      <c r="K279" s="2692"/>
      <c r="L279" s="2692"/>
      <c r="M279" s="2692"/>
      <c r="N279" s="2732">
        <v>0</v>
      </c>
      <c r="O279" s="2692"/>
      <c r="P279" s="2692"/>
      <c r="Q279" s="2692"/>
      <c r="R279" s="2692"/>
      <c r="S279" s="2692"/>
      <c r="T279" s="2692"/>
      <c r="U279" s="2729">
        <v>0</v>
      </c>
    </row>
    <row r="280" spans="1:27" x14ac:dyDescent="0.25">
      <c r="A280" s="1234"/>
      <c r="B280" s="1242" t="s">
        <v>1061</v>
      </c>
      <c r="C280" s="409"/>
      <c r="D280" s="1217" t="s">
        <v>463</v>
      </c>
      <c r="E280" s="1217" t="s">
        <v>488</v>
      </c>
      <c r="F280" s="1217" t="s">
        <v>191</v>
      </c>
      <c r="G280" s="1662" t="s">
        <v>1060</v>
      </c>
      <c r="H280" s="2729">
        <f>H281</f>
        <v>1546.097</v>
      </c>
      <c r="I280" s="2730"/>
      <c r="J280" s="2747"/>
      <c r="K280" s="2692"/>
      <c r="L280" s="2692"/>
      <c r="M280" s="2692"/>
      <c r="N280" s="2732">
        <f>N281</f>
        <v>1840.0219999999999</v>
      </c>
      <c r="O280" s="2692"/>
      <c r="P280" s="2692"/>
      <c r="Q280" s="2692"/>
      <c r="R280" s="2692"/>
      <c r="S280" s="2692"/>
      <c r="T280" s="2692"/>
      <c r="U280" s="2729">
        <v>0</v>
      </c>
    </row>
    <row r="281" spans="1:27" x14ac:dyDescent="0.25">
      <c r="A281" s="1234"/>
      <c r="B281" s="1182" t="s">
        <v>481</v>
      </c>
      <c r="C281" s="409"/>
      <c r="D281" s="1217" t="s">
        <v>463</v>
      </c>
      <c r="E281" s="1217" t="s">
        <v>488</v>
      </c>
      <c r="F281" s="1217" t="s">
        <v>191</v>
      </c>
      <c r="G281" s="1662" t="s">
        <v>26</v>
      </c>
      <c r="H281" s="2729">
        <f>600+606+220.097+120</f>
        <v>1546.097</v>
      </c>
      <c r="I281" s="2730"/>
      <c r="J281" s="2747"/>
      <c r="K281" s="2692"/>
      <c r="L281" s="2692"/>
      <c r="M281" s="2692"/>
      <c r="N281" s="2732">
        <v>1840.0219999999999</v>
      </c>
      <c r="O281" s="2692"/>
      <c r="P281" s="2692"/>
      <c r="Q281" s="2692"/>
      <c r="R281" s="2692"/>
      <c r="S281" s="2692"/>
      <c r="T281" s="2692"/>
      <c r="U281" s="2729">
        <v>0</v>
      </c>
    </row>
    <row r="282" spans="1:27" ht="21.65" customHeight="1" x14ac:dyDescent="0.25">
      <c r="A282" s="1234"/>
      <c r="B282" s="1242" t="s">
        <v>193</v>
      </c>
      <c r="C282" s="409"/>
      <c r="D282" s="1217" t="s">
        <v>463</v>
      </c>
      <c r="E282" s="1217" t="s">
        <v>488</v>
      </c>
      <c r="F282" s="1217" t="s">
        <v>1008</v>
      </c>
      <c r="G282" s="1662"/>
      <c r="H282" s="2729">
        <f>H284</f>
        <v>7876.79</v>
      </c>
      <c r="I282" s="2730"/>
      <c r="J282" s="2747"/>
      <c r="K282" s="2692"/>
      <c r="L282" s="2692"/>
      <c r="M282" s="2692"/>
      <c r="N282" s="2732">
        <f>N284</f>
        <v>5952.43</v>
      </c>
      <c r="O282" s="2692"/>
      <c r="P282" s="2692"/>
      <c r="Q282" s="2692"/>
      <c r="R282" s="2692"/>
      <c r="S282" s="2692"/>
      <c r="T282" s="2692"/>
      <c r="U282" s="2729">
        <f>U284</f>
        <v>2492.16</v>
      </c>
    </row>
    <row r="283" spans="1:27" ht="14.5" customHeight="1" x14ac:dyDescent="0.25">
      <c r="A283" s="1234"/>
      <c r="B283" s="1242" t="s">
        <v>1061</v>
      </c>
      <c r="C283" s="409"/>
      <c r="D283" s="1217" t="s">
        <v>463</v>
      </c>
      <c r="E283" s="1217" t="s">
        <v>488</v>
      </c>
      <c r="F283" s="1217" t="s">
        <v>1008</v>
      </c>
      <c r="G283" s="1662" t="s">
        <v>1060</v>
      </c>
      <c r="H283" s="2729">
        <f t="shared" ref="H283:U283" si="66">H284</f>
        <v>7876.79</v>
      </c>
      <c r="I283" s="2730">
        <f t="shared" si="66"/>
        <v>0</v>
      </c>
      <c r="J283" s="2747">
        <f t="shared" si="66"/>
        <v>0</v>
      </c>
      <c r="K283" s="2692">
        <f t="shared" si="66"/>
        <v>0</v>
      </c>
      <c r="L283" s="2692">
        <f t="shared" si="66"/>
        <v>0</v>
      </c>
      <c r="M283" s="2692">
        <f t="shared" si="66"/>
        <v>0</v>
      </c>
      <c r="N283" s="2732">
        <f t="shared" si="66"/>
        <v>5952.43</v>
      </c>
      <c r="O283" s="2692">
        <f t="shared" si="66"/>
        <v>0</v>
      </c>
      <c r="P283" s="2692">
        <f t="shared" si="66"/>
        <v>0</v>
      </c>
      <c r="Q283" s="2692">
        <f t="shared" si="66"/>
        <v>0</v>
      </c>
      <c r="R283" s="2692">
        <f t="shared" si="66"/>
        <v>0</v>
      </c>
      <c r="S283" s="2692">
        <f t="shared" si="66"/>
        <v>0</v>
      </c>
      <c r="T283" s="2692">
        <f t="shared" si="66"/>
        <v>0</v>
      </c>
      <c r="U283" s="2729">
        <f t="shared" si="66"/>
        <v>2492.16</v>
      </c>
    </row>
    <row r="284" spans="1:27" x14ac:dyDescent="0.25">
      <c r="A284" s="1234"/>
      <c r="B284" s="1182" t="s">
        <v>481</v>
      </c>
      <c r="C284" s="409"/>
      <c r="D284" s="1217" t="s">
        <v>463</v>
      </c>
      <c r="E284" s="1217" t="s">
        <v>488</v>
      </c>
      <c r="F284" s="1217" t="s">
        <v>1008</v>
      </c>
      <c r="G284" s="1662" t="s">
        <v>26</v>
      </c>
      <c r="H284" s="2729">
        <f>6022.622+1854.168</f>
        <v>7876.79</v>
      </c>
      <c r="I284" s="2730"/>
      <c r="J284" s="2747"/>
      <c r="K284" s="2692"/>
      <c r="L284" s="2692"/>
      <c r="M284" s="2692"/>
      <c r="N284" s="2732">
        <f>15947.492-11122-1375.022+1328.89+636.202-1840.022+2376.89</f>
        <v>5952.43</v>
      </c>
      <c r="O284" s="2692"/>
      <c r="P284" s="2692"/>
      <c r="Q284" s="2692"/>
      <c r="R284" s="2692"/>
      <c r="S284" s="2692"/>
      <c r="T284" s="2692"/>
      <c r="U284" s="2729">
        <f>23.92+2468.24</f>
        <v>2492.16</v>
      </c>
      <c r="AA284" s="1">
        <f>95+5</f>
        <v>100</v>
      </c>
    </row>
    <row r="285" spans="1:27" ht="45.65" customHeight="1" x14ac:dyDescent="0.25">
      <c r="A285" s="1179"/>
      <c r="B285" s="1203" t="s">
        <v>928</v>
      </c>
      <c r="C285" s="409"/>
      <c r="D285" s="409" t="s">
        <v>463</v>
      </c>
      <c r="E285" s="409" t="s">
        <v>488</v>
      </c>
      <c r="F285" s="409" t="s">
        <v>181</v>
      </c>
      <c r="G285" s="1662"/>
      <c r="H285" s="2729">
        <f>H289+H297+H291+H288+H298</f>
        <v>26.154840000000149</v>
      </c>
      <c r="I285" s="2730">
        <f>I286</f>
        <v>3670.8</v>
      </c>
      <c r="J285" s="2746">
        <f>J286</f>
        <v>4037.88</v>
      </c>
      <c r="K285" s="2692"/>
      <c r="L285" s="2692"/>
      <c r="M285" s="2692"/>
      <c r="N285" s="2732">
        <f>N295+N297+N301</f>
        <v>1000</v>
      </c>
      <c r="O285" s="2692"/>
      <c r="P285" s="2692"/>
      <c r="Q285" s="2692"/>
      <c r="R285" s="2692"/>
      <c r="S285" s="2692"/>
      <c r="T285" s="2692"/>
      <c r="U285" s="2729">
        <f>U295+U297+U301</f>
        <v>1328.232</v>
      </c>
    </row>
    <row r="286" spans="1:27" ht="21" hidden="1" x14ac:dyDescent="0.25">
      <c r="A286" s="1240"/>
      <c r="B286" s="1197" t="s">
        <v>180</v>
      </c>
      <c r="C286" s="1217"/>
      <c r="D286" s="1217" t="s">
        <v>463</v>
      </c>
      <c r="E286" s="1217" t="s">
        <v>488</v>
      </c>
      <c r="F286" s="1217" t="s">
        <v>179</v>
      </c>
      <c r="G286" s="1664"/>
      <c r="H286" s="2729">
        <f>H287</f>
        <v>0</v>
      </c>
      <c r="I286" s="2730">
        <f>I287</f>
        <v>3670.8</v>
      </c>
      <c r="J286" s="2746">
        <f>J287</f>
        <v>4037.88</v>
      </c>
      <c r="K286" s="2702">
        <f>K289</f>
        <v>7000</v>
      </c>
      <c r="L286" s="2692"/>
      <c r="M286" s="2692"/>
      <c r="N286" s="2732">
        <f>N287</f>
        <v>0</v>
      </c>
      <c r="O286" s="2692"/>
      <c r="P286" s="2692"/>
      <c r="Q286" s="2692"/>
      <c r="R286" s="2692"/>
      <c r="S286" s="2692"/>
      <c r="T286" s="2692"/>
      <c r="U286" s="2729">
        <f>U287</f>
        <v>0</v>
      </c>
    </row>
    <row r="287" spans="1:27" ht="30" hidden="1" customHeight="1" x14ac:dyDescent="0.25">
      <c r="A287" s="1240"/>
      <c r="B287" s="1197" t="s">
        <v>23</v>
      </c>
      <c r="C287" s="1217"/>
      <c r="D287" s="1217" t="s">
        <v>463</v>
      </c>
      <c r="E287" s="1217" t="s">
        <v>488</v>
      </c>
      <c r="F287" s="1217" t="s">
        <v>178</v>
      </c>
      <c r="G287" s="1664"/>
      <c r="H287" s="2729">
        <f>H288</f>
        <v>0</v>
      </c>
      <c r="I287" s="2730">
        <f>I289+I290</f>
        <v>3670.8</v>
      </c>
      <c r="J287" s="2746">
        <f>J289+J290</f>
        <v>4037.88</v>
      </c>
      <c r="K287" s="2692"/>
      <c r="L287" s="2692"/>
      <c r="M287" s="2692"/>
      <c r="N287" s="2732">
        <f>N289+N290</f>
        <v>0</v>
      </c>
      <c r="O287" s="2692"/>
      <c r="P287" s="2692"/>
      <c r="Q287" s="2692"/>
      <c r="R287" s="2692"/>
      <c r="S287" s="2692"/>
      <c r="T287" s="2692"/>
      <c r="U287" s="2729">
        <f>U289+U290</f>
        <v>0</v>
      </c>
    </row>
    <row r="288" spans="1:27" ht="30" hidden="1" customHeight="1" x14ac:dyDescent="0.25">
      <c r="A288" s="1240"/>
      <c r="B288" s="1182" t="s">
        <v>454</v>
      </c>
      <c r="C288" s="409"/>
      <c r="D288" s="1217" t="s">
        <v>463</v>
      </c>
      <c r="E288" s="1217" t="s">
        <v>488</v>
      </c>
      <c r="F288" s="1217" t="s">
        <v>178</v>
      </c>
      <c r="G288" s="1662" t="s">
        <v>1</v>
      </c>
      <c r="H288" s="2729"/>
      <c r="I288" s="2730"/>
      <c r="J288" s="2747"/>
      <c r="K288" s="2692"/>
      <c r="L288" s="2692"/>
      <c r="M288" s="2692"/>
      <c r="N288" s="2732"/>
      <c r="O288" s="2692"/>
      <c r="P288" s="2692"/>
      <c r="Q288" s="2692"/>
      <c r="R288" s="2692"/>
      <c r="S288" s="2692"/>
      <c r="T288" s="2692"/>
      <c r="U288" s="2729"/>
    </row>
    <row r="289" spans="1:21" hidden="1" x14ac:dyDescent="0.25">
      <c r="A289" s="1229"/>
      <c r="B289" s="1182" t="s">
        <v>481</v>
      </c>
      <c r="C289" s="1217"/>
      <c r="D289" s="1217" t="s">
        <v>463</v>
      </c>
      <c r="E289" s="1217" t="s">
        <v>488</v>
      </c>
      <c r="F289" s="1217" t="s">
        <v>178</v>
      </c>
      <c r="G289" s="1662" t="s">
        <v>26</v>
      </c>
      <c r="H289" s="2750">
        <f>200.001-75.7-124.301</f>
        <v>0</v>
      </c>
      <c r="I289" s="2730">
        <v>3670.8</v>
      </c>
      <c r="J289" s="2731">
        <v>4037.88</v>
      </c>
      <c r="K289" s="2692">
        <v>7000</v>
      </c>
      <c r="L289" s="2692"/>
      <c r="M289" s="2692"/>
      <c r="N289" s="2732"/>
      <c r="O289" s="2692"/>
      <c r="P289" s="2692"/>
      <c r="Q289" s="2692"/>
      <c r="R289" s="2692"/>
      <c r="S289" s="2692"/>
      <c r="T289" s="2692"/>
      <c r="U289" s="2729"/>
    </row>
    <row r="290" spans="1:21" hidden="1" x14ac:dyDescent="0.25">
      <c r="A290" s="1229"/>
      <c r="B290" s="753" t="s">
        <v>528</v>
      </c>
      <c r="C290" s="1217"/>
      <c r="D290" s="1217" t="s">
        <v>463</v>
      </c>
      <c r="E290" s="1217" t="s">
        <v>488</v>
      </c>
      <c r="F290" s="1217" t="s">
        <v>527</v>
      </c>
      <c r="G290" s="1664"/>
      <c r="H290" s="2729">
        <f>H291</f>
        <v>0</v>
      </c>
      <c r="I290" s="2730">
        <f>I291</f>
        <v>0</v>
      </c>
      <c r="J290" s="2731">
        <f>J291</f>
        <v>0</v>
      </c>
      <c r="K290" s="2692"/>
      <c r="L290" s="2692"/>
      <c r="M290" s="2692"/>
      <c r="N290" s="2732">
        <f>N291</f>
        <v>0</v>
      </c>
      <c r="O290" s="2692"/>
      <c r="P290" s="2692"/>
      <c r="Q290" s="2692"/>
      <c r="R290" s="2692"/>
      <c r="S290" s="2692"/>
      <c r="T290" s="2692"/>
      <c r="U290" s="2729">
        <f>U291</f>
        <v>0</v>
      </c>
    </row>
    <row r="291" spans="1:21" ht="21" hidden="1" x14ac:dyDescent="0.25">
      <c r="A291" s="1229"/>
      <c r="B291" s="1182" t="s">
        <v>454</v>
      </c>
      <c r="C291" s="409"/>
      <c r="D291" s="1217" t="s">
        <v>463</v>
      </c>
      <c r="E291" s="1217" t="s">
        <v>488</v>
      </c>
      <c r="F291" s="1217" t="s">
        <v>178</v>
      </c>
      <c r="G291" s="1662" t="s">
        <v>1</v>
      </c>
      <c r="H291" s="2729"/>
      <c r="I291" s="2730"/>
      <c r="J291" s="2731"/>
      <c r="K291" s="2692"/>
      <c r="L291" s="2692"/>
      <c r="M291" s="2692"/>
      <c r="N291" s="2732"/>
      <c r="O291" s="2692"/>
      <c r="P291" s="2692"/>
      <c r="Q291" s="2692"/>
      <c r="R291" s="2692"/>
      <c r="S291" s="2692"/>
      <c r="T291" s="2692"/>
      <c r="U291" s="2729"/>
    </row>
    <row r="292" spans="1:21" ht="21" x14ac:dyDescent="0.25">
      <c r="A292" s="1229"/>
      <c r="B292" s="1197" t="s">
        <v>1009</v>
      </c>
      <c r="C292" s="409"/>
      <c r="D292" s="1217" t="s">
        <v>463</v>
      </c>
      <c r="E292" s="1217" t="s">
        <v>488</v>
      </c>
      <c r="F292" s="1217" t="s">
        <v>1010</v>
      </c>
      <c r="G292" s="1662"/>
      <c r="H292" s="2729">
        <f>H293</f>
        <v>26.154840000000149</v>
      </c>
      <c r="I292" s="2730"/>
      <c r="J292" s="2747"/>
      <c r="K292" s="2692"/>
      <c r="L292" s="2692"/>
      <c r="M292" s="2692"/>
      <c r="N292" s="2732">
        <f>N293</f>
        <v>1000</v>
      </c>
      <c r="O292" s="2692"/>
      <c r="P292" s="2692"/>
      <c r="Q292" s="2692"/>
      <c r="R292" s="2692"/>
      <c r="S292" s="2692"/>
      <c r="T292" s="2692"/>
      <c r="U292" s="2729">
        <f>U293</f>
        <v>1000</v>
      </c>
    </row>
    <row r="293" spans="1:21" ht="21" customHeight="1" x14ac:dyDescent="0.25">
      <c r="A293" s="1229"/>
      <c r="B293" s="1868" t="s">
        <v>1011</v>
      </c>
      <c r="C293" s="409"/>
      <c r="D293" s="1217" t="s">
        <v>463</v>
      </c>
      <c r="E293" s="1217" t="s">
        <v>488</v>
      </c>
      <c r="F293" s="1231" t="s">
        <v>1012</v>
      </c>
      <c r="G293" s="1662"/>
      <c r="H293" s="2729">
        <f>H297+H295</f>
        <v>26.154840000000149</v>
      </c>
      <c r="I293" s="2730"/>
      <c r="J293" s="2747"/>
      <c r="K293" s="2692"/>
      <c r="L293" s="2692"/>
      <c r="M293" s="2692"/>
      <c r="N293" s="2732">
        <f>N297+N295</f>
        <v>1000</v>
      </c>
      <c r="O293" s="2692"/>
      <c r="P293" s="2692"/>
      <c r="Q293" s="2692"/>
      <c r="R293" s="2692"/>
      <c r="S293" s="2692"/>
      <c r="T293" s="2692"/>
      <c r="U293" s="2729">
        <f>U297+U295</f>
        <v>1000</v>
      </c>
    </row>
    <row r="294" spans="1:21" ht="21" hidden="1" customHeight="1" x14ac:dyDescent="0.25">
      <c r="A294" s="1229"/>
      <c r="B294" s="1242" t="s">
        <v>948</v>
      </c>
      <c r="C294" s="409"/>
      <c r="D294" s="1217" t="s">
        <v>463</v>
      </c>
      <c r="E294" s="1217" t="s">
        <v>488</v>
      </c>
      <c r="F294" s="1231" t="s">
        <v>1012</v>
      </c>
      <c r="G294" s="1662" t="s">
        <v>955</v>
      </c>
      <c r="H294" s="2729">
        <f t="shared" ref="H294:U294" si="67">H295</f>
        <v>0</v>
      </c>
      <c r="I294" s="2730">
        <f t="shared" si="67"/>
        <v>0</v>
      </c>
      <c r="J294" s="2747">
        <f t="shared" si="67"/>
        <v>0</v>
      </c>
      <c r="K294" s="2692">
        <f t="shared" si="67"/>
        <v>0</v>
      </c>
      <c r="L294" s="2692">
        <f t="shared" si="67"/>
        <v>0</v>
      </c>
      <c r="M294" s="2692">
        <f t="shared" si="67"/>
        <v>0</v>
      </c>
      <c r="N294" s="2732">
        <f t="shared" si="67"/>
        <v>0</v>
      </c>
      <c r="O294" s="2692">
        <f t="shared" si="67"/>
        <v>0</v>
      </c>
      <c r="P294" s="2692">
        <f t="shared" si="67"/>
        <v>0</v>
      </c>
      <c r="Q294" s="2692">
        <f t="shared" si="67"/>
        <v>0</v>
      </c>
      <c r="R294" s="2692">
        <f t="shared" si="67"/>
        <v>0</v>
      </c>
      <c r="S294" s="2692">
        <f t="shared" si="67"/>
        <v>0</v>
      </c>
      <c r="T294" s="2692">
        <f t="shared" si="67"/>
        <v>0</v>
      </c>
      <c r="U294" s="2729">
        <f t="shared" si="67"/>
        <v>0</v>
      </c>
    </row>
    <row r="295" spans="1:21" ht="21" hidden="1" customHeight="1" x14ac:dyDescent="0.25">
      <c r="A295" s="1229"/>
      <c r="B295" s="1242" t="s">
        <v>454</v>
      </c>
      <c r="C295" s="409"/>
      <c r="D295" s="1217" t="s">
        <v>463</v>
      </c>
      <c r="E295" s="1217" t="s">
        <v>488</v>
      </c>
      <c r="F295" s="1231" t="s">
        <v>1012</v>
      </c>
      <c r="G295" s="1662" t="s">
        <v>1</v>
      </c>
      <c r="H295" s="2729">
        <v>0</v>
      </c>
      <c r="I295" s="2730"/>
      <c r="J295" s="2747"/>
      <c r="K295" s="2692"/>
      <c r="L295" s="2692"/>
      <c r="M295" s="2692"/>
      <c r="N295" s="2732">
        <v>0</v>
      </c>
      <c r="O295" s="2692"/>
      <c r="P295" s="2692"/>
      <c r="Q295" s="2692"/>
      <c r="R295" s="2692"/>
      <c r="S295" s="2692"/>
      <c r="T295" s="2692"/>
      <c r="U295" s="2729">
        <v>0</v>
      </c>
    </row>
    <row r="296" spans="1:21" ht="21" customHeight="1" x14ac:dyDescent="0.25">
      <c r="A296" s="1229"/>
      <c r="B296" s="1242" t="s">
        <v>1068</v>
      </c>
      <c r="C296" s="409"/>
      <c r="D296" s="1217" t="s">
        <v>463</v>
      </c>
      <c r="E296" s="1217" t="s">
        <v>488</v>
      </c>
      <c r="F296" s="1231" t="s">
        <v>1012</v>
      </c>
      <c r="G296" s="1662" t="s">
        <v>1064</v>
      </c>
      <c r="H296" s="2729">
        <f t="shared" ref="H296:U296" si="68">H297</f>
        <v>26.154840000000149</v>
      </c>
      <c r="I296" s="2730">
        <f t="shared" si="68"/>
        <v>0</v>
      </c>
      <c r="J296" s="2747">
        <f t="shared" si="68"/>
        <v>0</v>
      </c>
      <c r="K296" s="2692">
        <f t="shared" si="68"/>
        <v>0</v>
      </c>
      <c r="L296" s="2692">
        <f t="shared" si="68"/>
        <v>0</v>
      </c>
      <c r="M296" s="2692">
        <f t="shared" si="68"/>
        <v>0</v>
      </c>
      <c r="N296" s="2732">
        <f t="shared" si="68"/>
        <v>1000</v>
      </c>
      <c r="O296" s="2692">
        <f t="shared" si="68"/>
        <v>0</v>
      </c>
      <c r="P296" s="2692">
        <f t="shared" si="68"/>
        <v>0</v>
      </c>
      <c r="Q296" s="2692">
        <f t="shared" si="68"/>
        <v>0</v>
      </c>
      <c r="R296" s="2692">
        <f t="shared" si="68"/>
        <v>0</v>
      </c>
      <c r="S296" s="2692">
        <f t="shared" si="68"/>
        <v>0</v>
      </c>
      <c r="T296" s="2692">
        <f t="shared" si="68"/>
        <v>0</v>
      </c>
      <c r="U296" s="2729">
        <f t="shared" si="68"/>
        <v>1000</v>
      </c>
    </row>
    <row r="297" spans="1:21" ht="21" x14ac:dyDescent="0.25">
      <c r="A297" s="1229"/>
      <c r="B297" s="1242" t="s">
        <v>523</v>
      </c>
      <c r="C297" s="409"/>
      <c r="D297" s="1217" t="s">
        <v>463</v>
      </c>
      <c r="E297" s="1217" t="s">
        <v>488</v>
      </c>
      <c r="F297" s="1231" t="s">
        <v>1012</v>
      </c>
      <c r="G297" s="1662" t="s">
        <v>521</v>
      </c>
      <c r="H297" s="2729">
        <f>2243.235-1500-717.08016</f>
        <v>26.154840000000149</v>
      </c>
      <c r="I297" s="2730"/>
      <c r="J297" s="2747"/>
      <c r="K297" s="2692"/>
      <c r="L297" s="2692"/>
      <c r="M297" s="2692"/>
      <c r="N297" s="2732">
        <v>1000</v>
      </c>
      <c r="O297" s="2692"/>
      <c r="P297" s="2692"/>
      <c r="Q297" s="2692"/>
      <c r="R297" s="2692"/>
      <c r="S297" s="2692"/>
      <c r="T297" s="2692"/>
      <c r="U297" s="2729">
        <v>1000</v>
      </c>
    </row>
    <row r="298" spans="1:21" ht="27.75" customHeight="1" x14ac:dyDescent="0.25">
      <c r="A298" s="1240"/>
      <c r="B298" s="1197" t="s">
        <v>1159</v>
      </c>
      <c r="C298" s="1217"/>
      <c r="D298" s="1217" t="s">
        <v>463</v>
      </c>
      <c r="E298" s="1217" t="s">
        <v>488</v>
      </c>
      <c r="F298" s="1217" t="s">
        <v>1157</v>
      </c>
      <c r="G298" s="1664"/>
      <c r="H298" s="2729">
        <f>H299</f>
        <v>0</v>
      </c>
      <c r="I298" s="2730">
        <f>I299</f>
        <v>0</v>
      </c>
      <c r="J298" s="2746">
        <f>J299</f>
        <v>0</v>
      </c>
      <c r="K298" s="2692"/>
      <c r="L298" s="2692"/>
      <c r="M298" s="2692"/>
      <c r="N298" s="2732">
        <f>N299</f>
        <v>0</v>
      </c>
      <c r="O298" s="2692"/>
      <c r="P298" s="2692"/>
      <c r="Q298" s="2692"/>
      <c r="R298" s="2692"/>
      <c r="S298" s="2692"/>
      <c r="T298" s="2692"/>
      <c r="U298" s="2729">
        <f>U299</f>
        <v>328.23200000000003</v>
      </c>
    </row>
    <row r="299" spans="1:21" ht="21" x14ac:dyDescent="0.25">
      <c r="A299" s="1240"/>
      <c r="B299" s="1180" t="s">
        <v>1160</v>
      </c>
      <c r="C299" s="1217"/>
      <c r="D299" s="1217" t="s">
        <v>463</v>
      </c>
      <c r="E299" s="1217" t="s">
        <v>488</v>
      </c>
      <c r="F299" s="1231" t="s">
        <v>1158</v>
      </c>
      <c r="G299" s="1664"/>
      <c r="H299" s="2729">
        <f>H300</f>
        <v>0</v>
      </c>
      <c r="I299" s="2730">
        <f t="shared" ref="I299:J301" si="69">I300</f>
        <v>0</v>
      </c>
      <c r="J299" s="2746">
        <f t="shared" si="69"/>
        <v>0</v>
      </c>
      <c r="K299" s="2692"/>
      <c r="L299" s="2692"/>
      <c r="M299" s="2692"/>
      <c r="N299" s="2732">
        <f>N300</f>
        <v>0</v>
      </c>
      <c r="O299" s="2692"/>
      <c r="P299" s="2692"/>
      <c r="Q299" s="2692"/>
      <c r="R299" s="2692"/>
      <c r="S299" s="2692"/>
      <c r="T299" s="2692"/>
      <c r="U299" s="2729">
        <f>U300</f>
        <v>328.23200000000003</v>
      </c>
    </row>
    <row r="300" spans="1:21" x14ac:dyDescent="0.25">
      <c r="A300" s="1229"/>
      <c r="B300" s="753" t="s">
        <v>1068</v>
      </c>
      <c r="C300" s="1217"/>
      <c r="D300" s="1217" t="s">
        <v>463</v>
      </c>
      <c r="E300" s="1217" t="s">
        <v>488</v>
      </c>
      <c r="F300" s="1231" t="s">
        <v>1158</v>
      </c>
      <c r="G300" s="1664" t="s">
        <v>1064</v>
      </c>
      <c r="H300" s="2729">
        <f>H301</f>
        <v>0</v>
      </c>
      <c r="I300" s="2730">
        <f t="shared" si="69"/>
        <v>0</v>
      </c>
      <c r="J300" s="2746">
        <f t="shared" si="69"/>
        <v>0</v>
      </c>
      <c r="K300" s="2692"/>
      <c r="L300" s="2692"/>
      <c r="M300" s="2692"/>
      <c r="N300" s="2732">
        <f>N301</f>
        <v>0</v>
      </c>
      <c r="O300" s="2692"/>
      <c r="P300" s="2692"/>
      <c r="Q300" s="2692"/>
      <c r="R300" s="2692"/>
      <c r="S300" s="2692"/>
      <c r="T300" s="2692"/>
      <c r="U300" s="2729">
        <f>U301</f>
        <v>328.23200000000003</v>
      </c>
    </row>
    <row r="301" spans="1:21" ht="21" x14ac:dyDescent="0.25">
      <c r="A301" s="1234"/>
      <c r="B301" s="1242" t="s">
        <v>523</v>
      </c>
      <c r="C301" s="409"/>
      <c r="D301" s="1217" t="s">
        <v>463</v>
      </c>
      <c r="E301" s="1217" t="s">
        <v>488</v>
      </c>
      <c r="F301" s="1231" t="s">
        <v>1158</v>
      </c>
      <c r="G301" s="1664" t="s">
        <v>521</v>
      </c>
      <c r="H301" s="2729">
        <v>0</v>
      </c>
      <c r="I301" s="2730">
        <f t="shared" si="69"/>
        <v>0</v>
      </c>
      <c r="J301" s="2746">
        <f t="shared" si="69"/>
        <v>0</v>
      </c>
      <c r="K301" s="2692"/>
      <c r="L301" s="2692"/>
      <c r="M301" s="2692"/>
      <c r="N301" s="2732">
        <v>0</v>
      </c>
      <c r="O301" s="2692"/>
      <c r="P301" s="2692"/>
      <c r="Q301" s="2692"/>
      <c r="R301" s="2692"/>
      <c r="S301" s="2692"/>
      <c r="T301" s="2692"/>
      <c r="U301" s="2729">
        <v>328.23200000000003</v>
      </c>
    </row>
    <row r="302" spans="1:21" hidden="1" x14ac:dyDescent="0.25">
      <c r="A302" s="1234"/>
      <c r="B302" s="1242" t="s">
        <v>481</v>
      </c>
      <c r="C302" s="1217"/>
      <c r="D302" s="1217" t="s">
        <v>463</v>
      </c>
      <c r="E302" s="1217" t="s">
        <v>488</v>
      </c>
      <c r="F302" s="409" t="s">
        <v>524</v>
      </c>
      <c r="G302" s="1662" t="s">
        <v>26</v>
      </c>
      <c r="H302" s="2729">
        <f>4900-4900</f>
        <v>0</v>
      </c>
      <c r="I302" s="2730"/>
      <c r="J302" s="2731"/>
      <c r="K302" s="2692"/>
      <c r="L302" s="2692"/>
      <c r="M302" s="2692"/>
      <c r="N302" s="2732"/>
      <c r="O302" s="2692"/>
      <c r="P302" s="2692"/>
      <c r="Q302" s="2692"/>
      <c r="R302" s="2692"/>
      <c r="S302" s="2692"/>
      <c r="T302" s="2692"/>
      <c r="U302" s="2729"/>
    </row>
    <row r="303" spans="1:21" ht="21" hidden="1" x14ac:dyDescent="0.25">
      <c r="A303" s="1234"/>
      <c r="B303" s="1242" t="s">
        <v>929</v>
      </c>
      <c r="C303" s="409"/>
      <c r="D303" s="1217" t="s">
        <v>463</v>
      </c>
      <c r="E303" s="1217" t="s">
        <v>488</v>
      </c>
      <c r="F303" s="1217" t="s">
        <v>89</v>
      </c>
      <c r="G303" s="1662"/>
      <c r="H303" s="2729">
        <f>H304</f>
        <v>0</v>
      </c>
      <c r="I303" s="2730"/>
      <c r="J303" s="2731"/>
      <c r="K303" s="2692"/>
      <c r="L303" s="2692"/>
      <c r="M303" s="2692"/>
      <c r="N303" s="2732"/>
      <c r="O303" s="2692"/>
      <c r="P303" s="2692"/>
      <c r="Q303" s="2692"/>
      <c r="R303" s="2692"/>
      <c r="S303" s="2692"/>
      <c r="T303" s="2692"/>
      <c r="U303" s="2729"/>
    </row>
    <row r="304" spans="1:21" hidden="1" x14ac:dyDescent="0.25">
      <c r="A304" s="1234"/>
      <c r="B304" s="1242" t="s">
        <v>109</v>
      </c>
      <c r="C304" s="409"/>
      <c r="D304" s="1217" t="s">
        <v>463</v>
      </c>
      <c r="E304" s="1217" t="s">
        <v>488</v>
      </c>
      <c r="F304" s="1217" t="s">
        <v>84</v>
      </c>
      <c r="G304" s="1662"/>
      <c r="H304" s="2729">
        <f>H305</f>
        <v>0</v>
      </c>
      <c r="I304" s="2730"/>
      <c r="J304" s="2731"/>
      <c r="K304" s="2692"/>
      <c r="L304" s="2692"/>
      <c r="M304" s="2692"/>
      <c r="N304" s="2732"/>
      <c r="O304" s="2692"/>
      <c r="P304" s="2692"/>
      <c r="Q304" s="2692"/>
      <c r="R304" s="2692"/>
      <c r="S304" s="2692"/>
      <c r="T304" s="2692"/>
      <c r="U304" s="2729"/>
    </row>
    <row r="305" spans="1:21" hidden="1" x14ac:dyDescent="0.25">
      <c r="A305" s="1234"/>
      <c r="B305" s="1242" t="s">
        <v>109</v>
      </c>
      <c r="C305" s="409"/>
      <c r="D305" s="1217" t="s">
        <v>463</v>
      </c>
      <c r="E305" s="1217" t="s">
        <v>488</v>
      </c>
      <c r="F305" s="1217" t="s">
        <v>82</v>
      </c>
      <c r="G305" s="1662"/>
      <c r="H305" s="2729">
        <f>H307+H315</f>
        <v>0</v>
      </c>
      <c r="I305" s="2730"/>
      <c r="J305" s="2731"/>
      <c r="K305" s="2692"/>
      <c r="L305" s="2692"/>
      <c r="M305" s="2692"/>
      <c r="N305" s="2732"/>
      <c r="O305" s="2692"/>
      <c r="P305" s="2692"/>
      <c r="Q305" s="2692"/>
      <c r="R305" s="2692"/>
      <c r="S305" s="2692"/>
      <c r="T305" s="2692"/>
      <c r="U305" s="2729"/>
    </row>
    <row r="306" spans="1:21" ht="34.5" hidden="1" customHeight="1" x14ac:dyDescent="0.25">
      <c r="A306" s="1234"/>
      <c r="B306" s="1242" t="s">
        <v>922</v>
      </c>
      <c r="C306" s="409"/>
      <c r="D306" s="1217" t="s">
        <v>463</v>
      </c>
      <c r="E306" s="1217" t="s">
        <v>488</v>
      </c>
      <c r="F306" s="1217" t="s">
        <v>923</v>
      </c>
      <c r="G306" s="1662"/>
      <c r="H306" s="2729">
        <f>H307</f>
        <v>0</v>
      </c>
      <c r="I306" s="2730"/>
      <c r="J306" s="2731"/>
      <c r="K306" s="2692"/>
      <c r="L306" s="2692"/>
      <c r="M306" s="2692"/>
      <c r="N306" s="2732"/>
      <c r="O306" s="2692"/>
      <c r="P306" s="2692"/>
      <c r="Q306" s="2692"/>
      <c r="R306" s="2692"/>
      <c r="S306" s="2692"/>
      <c r="T306" s="2692"/>
      <c r="U306" s="2729"/>
    </row>
    <row r="307" spans="1:21" ht="21" hidden="1" x14ac:dyDescent="0.25">
      <c r="A307" s="1234"/>
      <c r="B307" s="1242" t="s">
        <v>523</v>
      </c>
      <c r="C307" s="409"/>
      <c r="D307" s="1217" t="s">
        <v>463</v>
      </c>
      <c r="E307" s="1217" t="s">
        <v>488</v>
      </c>
      <c r="F307" s="1217" t="s">
        <v>923</v>
      </c>
      <c r="G307" s="1662" t="s">
        <v>521</v>
      </c>
      <c r="H307" s="2729"/>
      <c r="I307" s="2730"/>
      <c r="J307" s="2731"/>
      <c r="K307" s="2692"/>
      <c r="L307" s="2692"/>
      <c r="M307" s="2692"/>
      <c r="N307" s="2732"/>
      <c r="O307" s="2692"/>
      <c r="P307" s="2692"/>
      <c r="Q307" s="2692"/>
      <c r="R307" s="2692"/>
      <c r="S307" s="2692"/>
      <c r="T307" s="2692"/>
      <c r="U307" s="2729"/>
    </row>
    <row r="308" spans="1:21" ht="24.75" hidden="1" customHeight="1" x14ac:dyDescent="0.25">
      <c r="A308" s="1234"/>
      <c r="B308" s="1242" t="s">
        <v>930</v>
      </c>
      <c r="C308" s="409"/>
      <c r="D308" s="1217" t="s">
        <v>463</v>
      </c>
      <c r="E308" s="1217" t="s">
        <v>488</v>
      </c>
      <c r="F308" s="1217" t="s">
        <v>925</v>
      </c>
      <c r="G308" s="1662"/>
      <c r="H308" s="2729"/>
      <c r="I308" s="2730"/>
      <c r="J308" s="2747"/>
      <c r="K308" s="2692"/>
      <c r="L308" s="2692"/>
      <c r="M308" s="2692"/>
      <c r="N308" s="2732"/>
      <c r="O308" s="2692"/>
      <c r="P308" s="2692"/>
      <c r="Q308" s="2692"/>
      <c r="R308" s="2692"/>
      <c r="S308" s="2692"/>
      <c r="T308" s="2692"/>
      <c r="U308" s="2729"/>
    </row>
    <row r="309" spans="1:21" hidden="1" x14ac:dyDescent="0.25">
      <c r="A309" s="1234"/>
      <c r="B309" s="1242" t="s">
        <v>109</v>
      </c>
      <c r="C309" s="409"/>
      <c r="D309" s="1217" t="s">
        <v>463</v>
      </c>
      <c r="E309" s="1217" t="s">
        <v>488</v>
      </c>
      <c r="F309" s="1217" t="s">
        <v>925</v>
      </c>
      <c r="G309" s="1662"/>
      <c r="H309" s="2729"/>
      <c r="I309" s="2730"/>
      <c r="J309" s="2747"/>
      <c r="K309" s="2692"/>
      <c r="L309" s="2692"/>
      <c r="M309" s="2692"/>
      <c r="N309" s="2732"/>
      <c r="O309" s="2692"/>
      <c r="P309" s="2692"/>
      <c r="Q309" s="2692"/>
      <c r="R309" s="2692"/>
      <c r="S309" s="2692"/>
      <c r="T309" s="2692"/>
      <c r="U309" s="2729"/>
    </row>
    <row r="310" spans="1:21" hidden="1" x14ac:dyDescent="0.25">
      <c r="A310" s="1234"/>
      <c r="B310" s="1242" t="s">
        <v>109</v>
      </c>
      <c r="C310" s="409"/>
      <c r="D310" s="1217" t="s">
        <v>463</v>
      </c>
      <c r="E310" s="1217" t="s">
        <v>488</v>
      </c>
      <c r="F310" s="1217" t="s">
        <v>925</v>
      </c>
      <c r="G310" s="1662"/>
      <c r="H310" s="2729"/>
      <c r="I310" s="2730"/>
      <c r="J310" s="2747"/>
      <c r="K310" s="2692"/>
      <c r="L310" s="2692"/>
      <c r="M310" s="2692"/>
      <c r="N310" s="2732"/>
      <c r="O310" s="2692"/>
      <c r="P310" s="2692"/>
      <c r="Q310" s="2692"/>
      <c r="R310" s="2692"/>
      <c r="S310" s="2692"/>
      <c r="T310" s="2692"/>
      <c r="U310" s="2729"/>
    </row>
    <row r="311" spans="1:21" ht="21" x14ac:dyDescent="0.25">
      <c r="A311" s="1234"/>
      <c r="B311" s="1242" t="s">
        <v>499</v>
      </c>
      <c r="C311" s="409"/>
      <c r="D311" s="1217" t="s">
        <v>463</v>
      </c>
      <c r="E311" s="1217" t="s">
        <v>488</v>
      </c>
      <c r="F311" s="409" t="s">
        <v>89</v>
      </c>
      <c r="G311" s="1662"/>
      <c r="H311" s="2729">
        <f>H312</f>
        <v>330</v>
      </c>
      <c r="I311" s="2730"/>
      <c r="J311" s="2747"/>
      <c r="K311" s="2692"/>
      <c r="L311" s="2692"/>
      <c r="M311" s="2692"/>
      <c r="N311" s="2732">
        <f>N312</f>
        <v>0</v>
      </c>
      <c r="O311" s="2692"/>
      <c r="P311" s="2692"/>
      <c r="Q311" s="2692"/>
      <c r="R311" s="2692"/>
      <c r="S311" s="2692"/>
      <c r="T311" s="2692"/>
      <c r="U311" s="2729">
        <f>U312</f>
        <v>0</v>
      </c>
    </row>
    <row r="312" spans="1:21" x14ac:dyDescent="0.25">
      <c r="A312" s="1234"/>
      <c r="B312" s="1242" t="s">
        <v>109</v>
      </c>
      <c r="C312" s="409"/>
      <c r="D312" s="1217" t="s">
        <v>463</v>
      </c>
      <c r="E312" s="1217" t="s">
        <v>488</v>
      </c>
      <c r="F312" s="409" t="s">
        <v>84</v>
      </c>
      <c r="G312" s="1662"/>
      <c r="H312" s="2729">
        <f>H316</f>
        <v>330</v>
      </c>
      <c r="I312" s="2730"/>
      <c r="J312" s="2747"/>
      <c r="K312" s="2692"/>
      <c r="L312" s="2692"/>
      <c r="M312" s="2692"/>
      <c r="N312" s="2732">
        <f>N316</f>
        <v>0</v>
      </c>
      <c r="O312" s="2692"/>
      <c r="P312" s="2692"/>
      <c r="Q312" s="2692"/>
      <c r="R312" s="2692"/>
      <c r="S312" s="2692"/>
      <c r="T312" s="2692"/>
      <c r="U312" s="2729">
        <f>U316</f>
        <v>0</v>
      </c>
    </row>
    <row r="313" spans="1:21" hidden="1" x14ac:dyDescent="0.25">
      <c r="A313" s="1234"/>
      <c r="B313" s="1242" t="s">
        <v>109</v>
      </c>
      <c r="C313" s="409"/>
      <c r="D313" s="1217" t="s">
        <v>463</v>
      </c>
      <c r="E313" s="1217" t="s">
        <v>488</v>
      </c>
      <c r="F313" s="1217" t="s">
        <v>82</v>
      </c>
      <c r="G313" s="1662"/>
      <c r="H313" s="2729">
        <f>H314</f>
        <v>0</v>
      </c>
      <c r="I313" s="2730"/>
      <c r="J313" s="2747"/>
      <c r="K313" s="2692"/>
      <c r="L313" s="2692"/>
      <c r="M313" s="2692"/>
      <c r="N313" s="2732"/>
      <c r="O313" s="2692"/>
      <c r="P313" s="2692"/>
      <c r="Q313" s="2692"/>
      <c r="R313" s="2692"/>
      <c r="S313" s="2692"/>
      <c r="T313" s="2692"/>
      <c r="U313" s="2729"/>
    </row>
    <row r="314" spans="1:21" ht="21" hidden="1" x14ac:dyDescent="0.25">
      <c r="A314" s="1234"/>
      <c r="B314" s="1242" t="s">
        <v>930</v>
      </c>
      <c r="C314" s="409"/>
      <c r="D314" s="1217" t="s">
        <v>463</v>
      </c>
      <c r="E314" s="1217" t="s">
        <v>488</v>
      </c>
      <c r="F314" s="1217" t="s">
        <v>925</v>
      </c>
      <c r="G314" s="1662"/>
      <c r="H314" s="2729">
        <f>H315</f>
        <v>0</v>
      </c>
      <c r="I314" s="2730"/>
      <c r="J314" s="2747"/>
      <c r="K314" s="2692"/>
      <c r="L314" s="2692"/>
      <c r="M314" s="2692"/>
      <c r="N314" s="2732">
        <f>N315</f>
        <v>0</v>
      </c>
      <c r="O314" s="2692"/>
      <c r="P314" s="2692"/>
      <c r="Q314" s="2692"/>
      <c r="R314" s="2692"/>
      <c r="S314" s="2692"/>
      <c r="T314" s="2692"/>
      <c r="U314" s="2729">
        <f>U315</f>
        <v>0</v>
      </c>
    </row>
    <row r="315" spans="1:21" ht="21" hidden="1" x14ac:dyDescent="0.25">
      <c r="A315" s="1234"/>
      <c r="B315" s="1242" t="s">
        <v>523</v>
      </c>
      <c r="C315" s="409"/>
      <c r="D315" s="1217" t="s">
        <v>463</v>
      </c>
      <c r="E315" s="1217" t="s">
        <v>488</v>
      </c>
      <c r="F315" s="1217" t="s">
        <v>925</v>
      </c>
      <c r="G315" s="1662" t="s">
        <v>521</v>
      </c>
      <c r="H315" s="2729"/>
      <c r="I315" s="2730"/>
      <c r="J315" s="2747"/>
      <c r="K315" s="2692"/>
      <c r="L315" s="2692"/>
      <c r="M315" s="2692"/>
      <c r="N315" s="2732"/>
      <c r="O315" s="2692"/>
      <c r="P315" s="2692"/>
      <c r="Q315" s="2692"/>
      <c r="R315" s="2692"/>
      <c r="S315" s="2692"/>
      <c r="T315" s="2692"/>
      <c r="U315" s="2729"/>
    </row>
    <row r="316" spans="1:21" x14ac:dyDescent="0.25">
      <c r="A316" s="1234"/>
      <c r="B316" s="1242" t="s">
        <v>109</v>
      </c>
      <c r="C316" s="409"/>
      <c r="D316" s="1217" t="s">
        <v>463</v>
      </c>
      <c r="E316" s="1217" t="s">
        <v>488</v>
      </c>
      <c r="F316" s="1217" t="s">
        <v>82</v>
      </c>
      <c r="G316" s="1662"/>
      <c r="H316" s="2729">
        <f>H319+H322+H324</f>
        <v>330</v>
      </c>
      <c r="I316" s="2730"/>
      <c r="J316" s="2747"/>
      <c r="K316" s="2692"/>
      <c r="L316" s="2692"/>
      <c r="M316" s="2692"/>
      <c r="N316" s="2732">
        <f>N319+N322</f>
        <v>0</v>
      </c>
      <c r="O316" s="2692"/>
      <c r="P316" s="2692"/>
      <c r="Q316" s="2692"/>
      <c r="R316" s="2692"/>
      <c r="S316" s="2692"/>
      <c r="T316" s="2692"/>
      <c r="U316" s="2729">
        <f>U319+U322</f>
        <v>0</v>
      </c>
    </row>
    <row r="317" spans="1:21" ht="21.65" customHeight="1" x14ac:dyDescent="0.25">
      <c r="A317" s="1234"/>
      <c r="B317" s="1242" t="s">
        <v>1189</v>
      </c>
      <c r="C317" s="409"/>
      <c r="D317" s="1217" t="s">
        <v>463</v>
      </c>
      <c r="E317" s="1217" t="s">
        <v>488</v>
      </c>
      <c r="F317" s="1217" t="s">
        <v>1176</v>
      </c>
      <c r="G317" s="1662"/>
      <c r="H317" s="2729">
        <f>H318</f>
        <v>330</v>
      </c>
      <c r="I317" s="2730"/>
      <c r="J317" s="2747"/>
      <c r="K317" s="2692"/>
      <c r="L317" s="2692"/>
      <c r="M317" s="2692"/>
      <c r="N317" s="2732">
        <v>0</v>
      </c>
      <c r="O317" s="2692"/>
      <c r="P317" s="2692"/>
      <c r="Q317" s="2692"/>
      <c r="R317" s="2692"/>
      <c r="S317" s="2692"/>
      <c r="T317" s="2692"/>
      <c r="U317" s="2729">
        <v>0</v>
      </c>
    </row>
    <row r="318" spans="1:21" x14ac:dyDescent="0.25">
      <c r="A318" s="1234"/>
      <c r="B318" s="753" t="s">
        <v>948</v>
      </c>
      <c r="C318" s="409"/>
      <c r="D318" s="1217" t="s">
        <v>463</v>
      </c>
      <c r="E318" s="1217" t="s">
        <v>488</v>
      </c>
      <c r="F318" s="1217" t="s">
        <v>1176</v>
      </c>
      <c r="G318" s="1664" t="s">
        <v>955</v>
      </c>
      <c r="H318" s="2729">
        <f>H319</f>
        <v>330</v>
      </c>
      <c r="I318" s="2730"/>
      <c r="J318" s="2747"/>
      <c r="K318" s="2692"/>
      <c r="L318" s="2692"/>
      <c r="M318" s="2692"/>
      <c r="N318" s="2732">
        <v>0</v>
      </c>
      <c r="O318" s="2692"/>
      <c r="P318" s="2692"/>
      <c r="Q318" s="2692"/>
      <c r="R318" s="2692"/>
      <c r="S318" s="2692"/>
      <c r="T318" s="2692"/>
      <c r="U318" s="2729">
        <v>0</v>
      </c>
    </row>
    <row r="319" spans="1:21" x14ac:dyDescent="0.25">
      <c r="A319" s="1234"/>
      <c r="B319" s="1242" t="s">
        <v>454</v>
      </c>
      <c r="C319" s="409"/>
      <c r="D319" s="1217" t="s">
        <v>463</v>
      </c>
      <c r="E319" s="1217" t="s">
        <v>488</v>
      </c>
      <c r="F319" s="1217" t="s">
        <v>1176</v>
      </c>
      <c r="G319" s="1664" t="s">
        <v>1</v>
      </c>
      <c r="H319" s="2729">
        <v>330</v>
      </c>
      <c r="I319" s="2730"/>
      <c r="J319" s="2747"/>
      <c r="K319" s="2692"/>
      <c r="L319" s="2692"/>
      <c r="M319" s="2692"/>
      <c r="N319" s="2732">
        <v>0</v>
      </c>
      <c r="O319" s="2692"/>
      <c r="P319" s="2692"/>
      <c r="Q319" s="2692"/>
      <c r="R319" s="2692"/>
      <c r="S319" s="2692"/>
      <c r="T319" s="2692"/>
      <c r="U319" s="2729">
        <v>0</v>
      </c>
    </row>
    <row r="320" spans="1:21" ht="21" hidden="1" x14ac:dyDescent="0.25">
      <c r="A320" s="1234"/>
      <c r="B320" s="1242" t="s">
        <v>1192</v>
      </c>
      <c r="C320" s="409"/>
      <c r="D320" s="1217" t="s">
        <v>463</v>
      </c>
      <c r="E320" s="1217" t="s">
        <v>488</v>
      </c>
      <c r="F320" s="1217" t="s">
        <v>1191</v>
      </c>
      <c r="G320" s="1664"/>
      <c r="H320" s="2729">
        <f>H321+H324</f>
        <v>0</v>
      </c>
      <c r="I320" s="2730"/>
      <c r="J320" s="2747"/>
      <c r="K320" s="2692"/>
      <c r="L320" s="2692"/>
      <c r="M320" s="2692"/>
      <c r="N320" s="2732">
        <f>N321+N324</f>
        <v>0</v>
      </c>
      <c r="O320" s="2692"/>
      <c r="P320" s="2692"/>
      <c r="Q320" s="2692"/>
      <c r="R320" s="2692"/>
      <c r="S320" s="2692"/>
      <c r="T320" s="2692"/>
      <c r="U320" s="2729">
        <f>U321+U324</f>
        <v>0</v>
      </c>
    </row>
    <row r="321" spans="1:21" hidden="1" x14ac:dyDescent="0.25">
      <c r="A321" s="1234"/>
      <c r="B321" s="1242" t="s">
        <v>948</v>
      </c>
      <c r="C321" s="409"/>
      <c r="D321" s="1217" t="s">
        <v>463</v>
      </c>
      <c r="E321" s="1217" t="s">
        <v>488</v>
      </c>
      <c r="F321" s="1217" t="s">
        <v>1191</v>
      </c>
      <c r="G321" s="1664" t="s">
        <v>955</v>
      </c>
      <c r="H321" s="2729">
        <f>H322</f>
        <v>0</v>
      </c>
      <c r="I321" s="2730"/>
      <c r="J321" s="2747"/>
      <c r="K321" s="2692"/>
      <c r="L321" s="2692"/>
      <c r="M321" s="2692"/>
      <c r="N321" s="2732">
        <f>N322</f>
        <v>0</v>
      </c>
      <c r="O321" s="2692"/>
      <c r="P321" s="2692"/>
      <c r="Q321" s="2692"/>
      <c r="R321" s="2692"/>
      <c r="S321" s="2692"/>
      <c r="T321" s="2692"/>
      <c r="U321" s="2729">
        <f>U322</f>
        <v>0</v>
      </c>
    </row>
    <row r="322" spans="1:21" hidden="1" x14ac:dyDescent="0.25">
      <c r="A322" s="1234"/>
      <c r="B322" s="1242" t="s">
        <v>454</v>
      </c>
      <c r="C322" s="409"/>
      <c r="D322" s="1217" t="s">
        <v>463</v>
      </c>
      <c r="E322" s="1217" t="s">
        <v>488</v>
      </c>
      <c r="F322" s="1217" t="s">
        <v>1191</v>
      </c>
      <c r="G322" s="1664" t="s">
        <v>1</v>
      </c>
      <c r="H322" s="2729">
        <v>0</v>
      </c>
      <c r="I322" s="2730"/>
      <c r="J322" s="2747"/>
      <c r="K322" s="2692"/>
      <c r="L322" s="2692"/>
      <c r="M322" s="2692"/>
      <c r="N322" s="2732">
        <v>0</v>
      </c>
      <c r="O322" s="2692"/>
      <c r="P322" s="2692"/>
      <c r="Q322" s="2692"/>
      <c r="R322" s="2692"/>
      <c r="S322" s="2692"/>
      <c r="T322" s="2692"/>
      <c r="U322" s="2729">
        <v>0</v>
      </c>
    </row>
    <row r="323" spans="1:21" hidden="1" x14ac:dyDescent="0.25">
      <c r="A323" s="1234"/>
      <c r="B323" s="1242" t="s">
        <v>1068</v>
      </c>
      <c r="C323" s="409"/>
      <c r="D323" s="1217" t="s">
        <v>463</v>
      </c>
      <c r="E323" s="1217" t="s">
        <v>488</v>
      </c>
      <c r="F323" s="1217" t="s">
        <v>1191</v>
      </c>
      <c r="G323" s="1664" t="s">
        <v>1064</v>
      </c>
      <c r="H323" s="2729">
        <f>H324</f>
        <v>0</v>
      </c>
      <c r="I323" s="2730"/>
      <c r="J323" s="2747"/>
      <c r="K323" s="2692"/>
      <c r="L323" s="2692"/>
      <c r="M323" s="2692"/>
      <c r="N323" s="2732">
        <f>N324</f>
        <v>0</v>
      </c>
      <c r="O323" s="2692"/>
      <c r="P323" s="2692"/>
      <c r="Q323" s="2692"/>
      <c r="R323" s="2692"/>
      <c r="S323" s="2692"/>
      <c r="T323" s="2692"/>
      <c r="U323" s="2729">
        <f>U324</f>
        <v>0</v>
      </c>
    </row>
    <row r="324" spans="1:21" hidden="1" x14ac:dyDescent="0.25">
      <c r="A324" s="1234"/>
      <c r="B324" s="1242" t="s">
        <v>1003</v>
      </c>
      <c r="C324" s="409"/>
      <c r="D324" s="1217" t="s">
        <v>463</v>
      </c>
      <c r="E324" s="1217" t="s">
        <v>488</v>
      </c>
      <c r="F324" s="1217" t="s">
        <v>1191</v>
      </c>
      <c r="G324" s="1664" t="s">
        <v>95</v>
      </c>
      <c r="H324" s="2729">
        <v>0</v>
      </c>
      <c r="I324" s="2730"/>
      <c r="J324" s="2747"/>
      <c r="K324" s="2692"/>
      <c r="L324" s="2692"/>
      <c r="M324" s="2692"/>
      <c r="N324" s="2732">
        <v>0</v>
      </c>
      <c r="O324" s="2692"/>
      <c r="P324" s="2692"/>
      <c r="Q324" s="2692"/>
      <c r="R324" s="2692"/>
      <c r="S324" s="2692"/>
      <c r="T324" s="2692"/>
      <c r="U324" s="2729">
        <v>0</v>
      </c>
    </row>
    <row r="325" spans="1:21" x14ac:dyDescent="0.25">
      <c r="A325" s="1229"/>
      <c r="B325" s="1225" t="s">
        <v>34</v>
      </c>
      <c r="C325" s="1227"/>
      <c r="D325" s="1227" t="s">
        <v>463</v>
      </c>
      <c r="E325" s="1227" t="s">
        <v>495</v>
      </c>
      <c r="F325" s="1227"/>
      <c r="G325" s="1665"/>
      <c r="H325" s="2738">
        <f>H326+H372+H386+H391+H406+H356+H367+H362</f>
        <v>42944.999000000003</v>
      </c>
      <c r="I325" s="2739">
        <f>I326+I334</f>
        <v>13543.38</v>
      </c>
      <c r="J325" s="2740">
        <f>J326+J334</f>
        <v>9788.7259999999987</v>
      </c>
      <c r="K325" s="2692"/>
      <c r="L325" s="2692"/>
      <c r="M325" s="2692"/>
      <c r="N325" s="2741">
        <f>N330+N333+N337+N361+N366+N371+N390+N416+N418+N391+N372</f>
        <v>50011.923999999999</v>
      </c>
      <c r="O325" s="2692"/>
      <c r="P325" s="2692"/>
      <c r="Q325" s="2692"/>
      <c r="R325" s="2692"/>
      <c r="S325" s="2692"/>
      <c r="T325" s="2692"/>
      <c r="U325" s="2738">
        <f>U330+U333+U337+U361+U366+U371+U390+U416+U418+U372</f>
        <v>39466.716500000002</v>
      </c>
    </row>
    <row r="326" spans="1:21" ht="24" customHeight="1" x14ac:dyDescent="0.25">
      <c r="A326" s="1179"/>
      <c r="B326" s="1243" t="s">
        <v>931</v>
      </c>
      <c r="C326" s="409"/>
      <c r="D326" s="409" t="s">
        <v>463</v>
      </c>
      <c r="E326" s="409" t="s">
        <v>495</v>
      </c>
      <c r="F326" s="409" t="s">
        <v>189</v>
      </c>
      <c r="G326" s="1662"/>
      <c r="H326" s="2729">
        <f>H327+H334</f>
        <v>30255.654000000002</v>
      </c>
      <c r="I326" s="2730">
        <f>I327</f>
        <v>10043.379999999999</v>
      </c>
      <c r="J326" s="2746">
        <f>J327</f>
        <v>6288.7259999999997</v>
      </c>
      <c r="K326" s="2702">
        <f>K330+K333+K376+K385+K421</f>
        <v>2750</v>
      </c>
      <c r="L326" s="2692"/>
      <c r="M326" s="2692"/>
      <c r="N326" s="2732">
        <f>N327+N334</f>
        <v>28925.802</v>
      </c>
      <c r="O326" s="2692"/>
      <c r="P326" s="2692"/>
      <c r="Q326" s="2692"/>
      <c r="R326" s="2692"/>
      <c r="S326" s="2692"/>
      <c r="T326" s="2692"/>
      <c r="U326" s="2729">
        <f>U327+U334</f>
        <v>27887.218000000001</v>
      </c>
    </row>
    <row r="327" spans="1:21" ht="31.5" x14ac:dyDescent="0.25">
      <c r="A327" s="842"/>
      <c r="B327" s="1197" t="s">
        <v>188</v>
      </c>
      <c r="C327" s="408"/>
      <c r="D327" s="409" t="s">
        <v>463</v>
      </c>
      <c r="E327" s="409" t="s">
        <v>495</v>
      </c>
      <c r="F327" s="409" t="s">
        <v>187</v>
      </c>
      <c r="G327" s="1661"/>
      <c r="H327" s="2729">
        <f>H328+H331</f>
        <v>29939.864000000001</v>
      </c>
      <c r="I327" s="2730">
        <f>I328+I331</f>
        <v>10043.379999999999</v>
      </c>
      <c r="J327" s="2746">
        <f>J328+J331</f>
        <v>6288.7259999999997</v>
      </c>
      <c r="K327" s="2692"/>
      <c r="L327" s="2692"/>
      <c r="M327" s="2692"/>
      <c r="N327" s="2732">
        <f>N328+N331</f>
        <v>28875.802</v>
      </c>
      <c r="O327" s="2692"/>
      <c r="P327" s="2692"/>
      <c r="Q327" s="2692"/>
      <c r="R327" s="2692"/>
      <c r="S327" s="2692"/>
      <c r="T327" s="2692"/>
      <c r="U327" s="2729">
        <f>U328+U331</f>
        <v>27837.218000000001</v>
      </c>
    </row>
    <row r="328" spans="1:21" ht="28.5" customHeight="1" x14ac:dyDescent="0.25">
      <c r="A328" s="1179"/>
      <c r="B328" s="1205" t="s">
        <v>186</v>
      </c>
      <c r="C328" s="1217"/>
      <c r="D328" s="1217" t="s">
        <v>463</v>
      </c>
      <c r="E328" s="1217" t="s">
        <v>495</v>
      </c>
      <c r="F328" s="1217" t="s">
        <v>185</v>
      </c>
      <c r="G328" s="1664"/>
      <c r="H328" s="2729">
        <f>H330</f>
        <v>850</v>
      </c>
      <c r="I328" s="2730">
        <f>I330</f>
        <v>10043.379999999999</v>
      </c>
      <c r="J328" s="2746">
        <f>J330</f>
        <v>6288.7259999999997</v>
      </c>
      <c r="K328" s="2692"/>
      <c r="L328" s="2692"/>
      <c r="M328" s="2692"/>
      <c r="N328" s="2732">
        <f>N330</f>
        <v>2539.3449999999998</v>
      </c>
      <c r="O328" s="2692"/>
      <c r="P328" s="2692"/>
      <c r="Q328" s="2692"/>
      <c r="R328" s="2692"/>
      <c r="S328" s="2692"/>
      <c r="T328" s="2692"/>
      <c r="U328" s="2729">
        <f>U330</f>
        <v>1105.6199999999999</v>
      </c>
    </row>
    <row r="329" spans="1:21" ht="19.5" customHeight="1" x14ac:dyDescent="0.25">
      <c r="A329" s="1179"/>
      <c r="B329" s="753" t="s">
        <v>948</v>
      </c>
      <c r="C329" s="1217"/>
      <c r="D329" s="1217" t="s">
        <v>463</v>
      </c>
      <c r="E329" s="1217" t="s">
        <v>495</v>
      </c>
      <c r="F329" s="1217" t="s">
        <v>185</v>
      </c>
      <c r="G329" s="1664" t="s">
        <v>955</v>
      </c>
      <c r="H329" s="2729">
        <f t="shared" ref="H329:U329" si="70">H330</f>
        <v>850</v>
      </c>
      <c r="I329" s="2730">
        <f t="shared" si="70"/>
        <v>10043.379999999999</v>
      </c>
      <c r="J329" s="2747">
        <f t="shared" si="70"/>
        <v>6288.7259999999997</v>
      </c>
      <c r="K329" s="2692">
        <f t="shared" si="70"/>
        <v>2300</v>
      </c>
      <c r="L329" s="2692">
        <f t="shared" si="70"/>
        <v>0</v>
      </c>
      <c r="M329" s="2692">
        <f t="shared" si="70"/>
        <v>0</v>
      </c>
      <c r="N329" s="2732">
        <f t="shared" si="70"/>
        <v>2539.3449999999998</v>
      </c>
      <c r="O329" s="2692">
        <f t="shared" si="70"/>
        <v>0</v>
      </c>
      <c r="P329" s="2692">
        <f t="shared" si="70"/>
        <v>0</v>
      </c>
      <c r="Q329" s="2692">
        <f t="shared" si="70"/>
        <v>0</v>
      </c>
      <c r="R329" s="2692">
        <f t="shared" si="70"/>
        <v>0</v>
      </c>
      <c r="S329" s="2692">
        <f t="shared" si="70"/>
        <v>0</v>
      </c>
      <c r="T329" s="2692">
        <f t="shared" si="70"/>
        <v>0</v>
      </c>
      <c r="U329" s="2729">
        <f t="shared" si="70"/>
        <v>1105.6199999999999</v>
      </c>
    </row>
    <row r="330" spans="1:21" ht="21" x14ac:dyDescent="0.25">
      <c r="A330" s="1179"/>
      <c r="B330" s="1182" t="s">
        <v>454</v>
      </c>
      <c r="C330" s="409"/>
      <c r="D330" s="1217" t="s">
        <v>463</v>
      </c>
      <c r="E330" s="1217" t="s">
        <v>495</v>
      </c>
      <c r="F330" s="1217" t="s">
        <v>185</v>
      </c>
      <c r="G330" s="1662" t="s">
        <v>1</v>
      </c>
      <c r="H330" s="2729">
        <f>1850-1000</f>
        <v>850</v>
      </c>
      <c r="I330" s="2730">
        <v>10043.379999999999</v>
      </c>
      <c r="J330" s="2731">
        <v>6288.7259999999997</v>
      </c>
      <c r="K330" s="2692">
        <v>2300</v>
      </c>
      <c r="L330" s="2692"/>
      <c r="M330" s="2692"/>
      <c r="N330" s="2732">
        <v>2539.3449999999998</v>
      </c>
      <c r="O330" s="2692"/>
      <c r="P330" s="2692"/>
      <c r="Q330" s="2692"/>
      <c r="R330" s="2692"/>
      <c r="S330" s="2692"/>
      <c r="T330" s="2692"/>
      <c r="U330" s="2729">
        <v>1105.6199999999999</v>
      </c>
    </row>
    <row r="331" spans="1:21" ht="25.5" customHeight="1" x14ac:dyDescent="0.25">
      <c r="A331" s="1179"/>
      <c r="B331" s="1205" t="s">
        <v>184</v>
      </c>
      <c r="C331" s="409"/>
      <c r="D331" s="1217" t="s">
        <v>463</v>
      </c>
      <c r="E331" s="1217" t="s">
        <v>495</v>
      </c>
      <c r="F331" s="1217" t="s">
        <v>183</v>
      </c>
      <c r="G331" s="1662"/>
      <c r="H331" s="2729">
        <f>H333+H351</f>
        <v>29089.864000000001</v>
      </c>
      <c r="I331" s="2730">
        <f>I333</f>
        <v>0</v>
      </c>
      <c r="J331" s="2731">
        <f>J333</f>
        <v>0</v>
      </c>
      <c r="K331" s="2692"/>
      <c r="L331" s="2692"/>
      <c r="M331" s="2692"/>
      <c r="N331" s="2732">
        <f>N333+N351</f>
        <v>26336.456999999999</v>
      </c>
      <c r="O331" s="2692"/>
      <c r="P331" s="2692"/>
      <c r="Q331" s="2692"/>
      <c r="R331" s="2692"/>
      <c r="S331" s="2692"/>
      <c r="T331" s="2692"/>
      <c r="U331" s="2729">
        <f>U333+U351</f>
        <v>26731.598000000002</v>
      </c>
    </row>
    <row r="332" spans="1:21" ht="17.149999999999999" customHeight="1" x14ac:dyDescent="0.25">
      <c r="A332" s="1179"/>
      <c r="B332" s="753" t="s">
        <v>948</v>
      </c>
      <c r="C332" s="409"/>
      <c r="D332" s="1217" t="s">
        <v>463</v>
      </c>
      <c r="E332" s="1217" t="s">
        <v>495</v>
      </c>
      <c r="F332" s="1217" t="s">
        <v>183</v>
      </c>
      <c r="G332" s="1662" t="s">
        <v>955</v>
      </c>
      <c r="H332" s="2729">
        <f t="shared" ref="H332:U332" si="71">H333</f>
        <v>29089.864000000001</v>
      </c>
      <c r="I332" s="2730">
        <f t="shared" si="71"/>
        <v>0</v>
      </c>
      <c r="J332" s="2731">
        <f t="shared" si="71"/>
        <v>0</v>
      </c>
      <c r="K332" s="2692">
        <f t="shared" si="71"/>
        <v>0</v>
      </c>
      <c r="L332" s="2692">
        <f t="shared" si="71"/>
        <v>0</v>
      </c>
      <c r="M332" s="2692">
        <f t="shared" si="71"/>
        <v>0</v>
      </c>
      <c r="N332" s="2732">
        <f t="shared" si="71"/>
        <v>26336.456999999999</v>
      </c>
      <c r="O332" s="2692">
        <f t="shared" si="71"/>
        <v>0</v>
      </c>
      <c r="P332" s="2692">
        <f t="shared" si="71"/>
        <v>0</v>
      </c>
      <c r="Q332" s="2692">
        <f t="shared" si="71"/>
        <v>0</v>
      </c>
      <c r="R332" s="2692">
        <f t="shared" si="71"/>
        <v>0</v>
      </c>
      <c r="S332" s="2692">
        <f t="shared" si="71"/>
        <v>0</v>
      </c>
      <c r="T332" s="2692">
        <f t="shared" si="71"/>
        <v>0</v>
      </c>
      <c r="U332" s="2729">
        <f t="shared" si="71"/>
        <v>26731.598000000002</v>
      </c>
    </row>
    <row r="333" spans="1:21" ht="21.75" customHeight="1" x14ac:dyDescent="0.25">
      <c r="A333" s="1179"/>
      <c r="B333" s="1182" t="s">
        <v>454</v>
      </c>
      <c r="C333" s="409"/>
      <c r="D333" s="1217" t="s">
        <v>463</v>
      </c>
      <c r="E333" s="1217" t="s">
        <v>495</v>
      </c>
      <c r="F333" s="1217" t="s">
        <v>183</v>
      </c>
      <c r="G333" s="1662" t="s">
        <v>1</v>
      </c>
      <c r="H333" s="2729">
        <f>26264.21+17.544+2808.11</f>
        <v>29089.864000000001</v>
      </c>
      <c r="I333" s="2730"/>
      <c r="J333" s="2731"/>
      <c r="K333" s="2714"/>
      <c r="L333" s="2692"/>
      <c r="M333" s="2692"/>
      <c r="N333" s="2732">
        <v>26336.456999999999</v>
      </c>
      <c r="O333" s="2692"/>
      <c r="P333" s="2692"/>
      <c r="Q333" s="2692"/>
      <c r="R333" s="2692"/>
      <c r="S333" s="2692"/>
      <c r="T333" s="2692"/>
      <c r="U333" s="2729">
        <v>26731.598000000002</v>
      </c>
    </row>
    <row r="334" spans="1:21" ht="21" x14ac:dyDescent="0.25">
      <c r="A334" s="842"/>
      <c r="B334" s="1197" t="s">
        <v>1117</v>
      </c>
      <c r="C334" s="408"/>
      <c r="D334" s="409" t="s">
        <v>463</v>
      </c>
      <c r="E334" s="409" t="s">
        <v>495</v>
      </c>
      <c r="F334" s="409" t="s">
        <v>1116</v>
      </c>
      <c r="G334" s="1661"/>
      <c r="H334" s="2733">
        <f>H335+H339</f>
        <v>315.79000000000002</v>
      </c>
      <c r="I334" s="2734">
        <f>I335+I339</f>
        <v>3500</v>
      </c>
      <c r="J334" s="2735">
        <f>J335+J339</f>
        <v>3500</v>
      </c>
      <c r="K334" s="2692"/>
      <c r="L334" s="2692"/>
      <c r="M334" s="2692"/>
      <c r="N334" s="2737">
        <f>N335+N339</f>
        <v>50</v>
      </c>
      <c r="O334" s="2692"/>
      <c r="P334" s="2692"/>
      <c r="Q334" s="2692"/>
      <c r="R334" s="2692"/>
      <c r="S334" s="2692"/>
      <c r="T334" s="2692"/>
      <c r="U334" s="2733">
        <f>U335+U339</f>
        <v>50</v>
      </c>
    </row>
    <row r="335" spans="1:21" x14ac:dyDescent="0.25">
      <c r="A335" s="1245"/>
      <c r="B335" s="2230" t="s">
        <v>1118</v>
      </c>
      <c r="C335" s="1217"/>
      <c r="D335" s="1217" t="s">
        <v>463</v>
      </c>
      <c r="E335" s="1217" t="s">
        <v>495</v>
      </c>
      <c r="F335" s="409" t="s">
        <v>1115</v>
      </c>
      <c r="G335" s="1664"/>
      <c r="H335" s="2729">
        <f>H337</f>
        <v>315.79000000000002</v>
      </c>
      <c r="I335" s="2730">
        <f t="shared" ref="H335:J337" si="72">I336</f>
        <v>3500</v>
      </c>
      <c r="J335" s="2731">
        <f t="shared" si="72"/>
        <v>3500</v>
      </c>
      <c r="K335" s="2692"/>
      <c r="L335" s="2692"/>
      <c r="M335" s="2692"/>
      <c r="N335" s="2732">
        <f>N337</f>
        <v>50</v>
      </c>
      <c r="O335" s="2692"/>
      <c r="P335" s="2692"/>
      <c r="Q335" s="2692"/>
      <c r="R335" s="2692"/>
      <c r="S335" s="2692"/>
      <c r="T335" s="2692"/>
      <c r="U335" s="2729">
        <f>U337</f>
        <v>50</v>
      </c>
    </row>
    <row r="336" spans="1:21" x14ac:dyDescent="0.25">
      <c r="A336" s="842"/>
      <c r="B336" s="753" t="s">
        <v>948</v>
      </c>
      <c r="C336" s="408"/>
      <c r="D336" s="409" t="s">
        <v>463</v>
      </c>
      <c r="E336" s="409" t="s">
        <v>495</v>
      </c>
      <c r="F336" s="409" t="s">
        <v>1115</v>
      </c>
      <c r="G336" s="1664" t="s">
        <v>955</v>
      </c>
      <c r="H336" s="2729">
        <f t="shared" si="72"/>
        <v>315.79000000000002</v>
      </c>
      <c r="I336" s="2730">
        <f t="shared" si="72"/>
        <v>3500</v>
      </c>
      <c r="J336" s="2731">
        <f t="shared" si="72"/>
        <v>3500</v>
      </c>
      <c r="K336" s="2692"/>
      <c r="L336" s="2692"/>
      <c r="M336" s="2692"/>
      <c r="N336" s="2732">
        <f t="shared" ref="N336" si="73">N337</f>
        <v>50</v>
      </c>
      <c r="O336" s="2692"/>
      <c r="P336" s="2692"/>
      <c r="Q336" s="2692"/>
      <c r="R336" s="2692"/>
      <c r="S336" s="2692"/>
      <c r="T336" s="2692"/>
      <c r="U336" s="2729">
        <f t="shared" ref="U336" si="74">U337</f>
        <v>50</v>
      </c>
    </row>
    <row r="337" spans="1:21" ht="21" x14ac:dyDescent="0.25">
      <c r="A337" s="1245"/>
      <c r="B337" s="1182" t="s">
        <v>454</v>
      </c>
      <c r="C337" s="1217"/>
      <c r="D337" s="1217" t="s">
        <v>463</v>
      </c>
      <c r="E337" s="1217" t="s">
        <v>495</v>
      </c>
      <c r="F337" s="409" t="s">
        <v>1115</v>
      </c>
      <c r="G337" s="1662" t="s">
        <v>1</v>
      </c>
      <c r="H337" s="2729">
        <f>333.334-17.544</f>
        <v>315.79000000000002</v>
      </c>
      <c r="I337" s="2730">
        <f t="shared" si="72"/>
        <v>3500</v>
      </c>
      <c r="J337" s="2731">
        <f t="shared" si="72"/>
        <v>3500</v>
      </c>
      <c r="K337" s="2692"/>
      <c r="L337" s="2692"/>
      <c r="M337" s="2692"/>
      <c r="N337" s="2732">
        <v>50</v>
      </c>
      <c r="O337" s="2692"/>
      <c r="P337" s="2692"/>
      <c r="Q337" s="2692"/>
      <c r="R337" s="2692"/>
      <c r="S337" s="2692"/>
      <c r="T337" s="2692"/>
      <c r="U337" s="2729">
        <v>50</v>
      </c>
    </row>
    <row r="338" spans="1:21" ht="21" hidden="1" x14ac:dyDescent="0.25">
      <c r="A338" s="1229"/>
      <c r="B338" s="1182" t="s">
        <v>454</v>
      </c>
      <c r="C338" s="409"/>
      <c r="D338" s="1217" t="s">
        <v>463</v>
      </c>
      <c r="E338" s="1217" t="s">
        <v>495</v>
      </c>
      <c r="F338" s="409" t="s">
        <v>1115</v>
      </c>
      <c r="G338" s="1662" t="s">
        <v>1</v>
      </c>
      <c r="H338" s="2729">
        <v>0</v>
      </c>
      <c r="I338" s="2730">
        <v>3500</v>
      </c>
      <c r="J338" s="2731">
        <v>3500</v>
      </c>
      <c r="K338" s="2692"/>
      <c r="L338" s="2692"/>
      <c r="M338" s="2692"/>
      <c r="N338" s="2732">
        <v>0</v>
      </c>
      <c r="O338" s="2692"/>
      <c r="P338" s="2692"/>
      <c r="Q338" s="2692"/>
      <c r="R338" s="2692"/>
      <c r="S338" s="2692"/>
      <c r="T338" s="2692"/>
      <c r="U338" s="2729">
        <v>0</v>
      </c>
    </row>
    <row r="339" spans="1:21" ht="21" hidden="1" x14ac:dyDescent="0.25">
      <c r="A339" s="1240"/>
      <c r="B339" s="1219" t="s">
        <v>519</v>
      </c>
      <c r="C339" s="1217"/>
      <c r="D339" s="1217" t="s">
        <v>463</v>
      </c>
      <c r="E339" s="1217" t="s">
        <v>495</v>
      </c>
      <c r="F339" s="1217" t="s">
        <v>518</v>
      </c>
      <c r="G339" s="1664"/>
      <c r="H339" s="2729">
        <f>H340+H345</f>
        <v>0</v>
      </c>
      <c r="I339" s="2730">
        <f>I340+I345</f>
        <v>0</v>
      </c>
      <c r="J339" s="2731">
        <f>J340+J345</f>
        <v>0</v>
      </c>
      <c r="K339" s="2692"/>
      <c r="L339" s="2692"/>
      <c r="M339" s="2692"/>
      <c r="N339" s="2732">
        <f>N340+N345</f>
        <v>0</v>
      </c>
      <c r="O339" s="2692"/>
      <c r="P339" s="2692"/>
      <c r="Q339" s="2692"/>
      <c r="R339" s="2692"/>
      <c r="S339" s="2692"/>
      <c r="T339" s="2692"/>
      <c r="U339" s="2729">
        <f>U340+U345</f>
        <v>0</v>
      </c>
    </row>
    <row r="340" spans="1:21" ht="31.5" hidden="1" x14ac:dyDescent="0.25">
      <c r="A340" s="1240"/>
      <c r="B340" s="1219" t="s">
        <v>517</v>
      </c>
      <c r="C340" s="1217"/>
      <c r="D340" s="1217" t="s">
        <v>463</v>
      </c>
      <c r="E340" s="1217" t="s">
        <v>495</v>
      </c>
      <c r="F340" s="1217" t="s">
        <v>516</v>
      </c>
      <c r="G340" s="1664"/>
      <c r="H340" s="2729">
        <f>H341+H343</f>
        <v>0</v>
      </c>
      <c r="I340" s="2730">
        <f>I341+I343</f>
        <v>0</v>
      </c>
      <c r="J340" s="2731">
        <f>J341+J343</f>
        <v>0</v>
      </c>
      <c r="K340" s="2692"/>
      <c r="L340" s="2692"/>
      <c r="M340" s="2692"/>
      <c r="N340" s="2732">
        <f>N341+N343</f>
        <v>0</v>
      </c>
      <c r="O340" s="2692"/>
      <c r="P340" s="2692"/>
      <c r="Q340" s="2692"/>
      <c r="R340" s="2692"/>
      <c r="S340" s="2692"/>
      <c r="T340" s="2692"/>
      <c r="U340" s="2729">
        <f>U341+U343</f>
        <v>0</v>
      </c>
    </row>
    <row r="341" spans="1:21" hidden="1" x14ac:dyDescent="0.25">
      <c r="A341" s="1229"/>
      <c r="B341" s="753" t="s">
        <v>515</v>
      </c>
      <c r="C341" s="1217"/>
      <c r="D341" s="1217" t="s">
        <v>463</v>
      </c>
      <c r="E341" s="1217" t="s">
        <v>495</v>
      </c>
      <c r="F341" s="1217" t="s">
        <v>514</v>
      </c>
      <c r="G341" s="1664"/>
      <c r="H341" s="2729">
        <f>H342</f>
        <v>0</v>
      </c>
      <c r="I341" s="2730">
        <f>I342</f>
        <v>0</v>
      </c>
      <c r="J341" s="2731">
        <f>J342</f>
        <v>0</v>
      </c>
      <c r="K341" s="2692"/>
      <c r="L341" s="2692"/>
      <c r="M341" s="2692"/>
      <c r="N341" s="2732">
        <f>N342</f>
        <v>0</v>
      </c>
      <c r="O341" s="2692"/>
      <c r="P341" s="2692"/>
      <c r="Q341" s="2692"/>
      <c r="R341" s="2692"/>
      <c r="S341" s="2692"/>
      <c r="T341" s="2692"/>
      <c r="U341" s="2729">
        <f>U342</f>
        <v>0</v>
      </c>
    </row>
    <row r="342" spans="1:21" ht="21" hidden="1" x14ac:dyDescent="0.25">
      <c r="A342" s="1229"/>
      <c r="B342" s="1182" t="s">
        <v>454</v>
      </c>
      <c r="C342" s="409"/>
      <c r="D342" s="1217" t="s">
        <v>463</v>
      </c>
      <c r="E342" s="1217" t="s">
        <v>495</v>
      </c>
      <c r="F342" s="1217" t="s">
        <v>514</v>
      </c>
      <c r="G342" s="1662" t="s">
        <v>1</v>
      </c>
      <c r="H342" s="2729"/>
      <c r="I342" s="2730"/>
      <c r="J342" s="2731"/>
      <c r="K342" s="2692"/>
      <c r="L342" s="2692"/>
      <c r="M342" s="2692"/>
      <c r="N342" s="2732"/>
      <c r="O342" s="2692"/>
      <c r="P342" s="2692"/>
      <c r="Q342" s="2692"/>
      <c r="R342" s="2692"/>
      <c r="S342" s="2692"/>
      <c r="T342" s="2692"/>
      <c r="U342" s="2729"/>
    </row>
    <row r="343" spans="1:21" ht="21" hidden="1" x14ac:dyDescent="0.25">
      <c r="A343" s="1229"/>
      <c r="B343" s="753" t="s">
        <v>513</v>
      </c>
      <c r="C343" s="1217"/>
      <c r="D343" s="1217" t="s">
        <v>463</v>
      </c>
      <c r="E343" s="1217" t="s">
        <v>495</v>
      </c>
      <c r="F343" s="1217" t="s">
        <v>512</v>
      </c>
      <c r="G343" s="1664"/>
      <c r="H343" s="2729">
        <f>H344</f>
        <v>0</v>
      </c>
      <c r="I343" s="2730">
        <f>I344</f>
        <v>0</v>
      </c>
      <c r="J343" s="2731">
        <f>J344</f>
        <v>0</v>
      </c>
      <c r="K343" s="2692"/>
      <c r="L343" s="2692"/>
      <c r="M343" s="2692"/>
      <c r="N343" s="2732">
        <f>N344</f>
        <v>0</v>
      </c>
      <c r="O343" s="2692"/>
      <c r="P343" s="2692"/>
      <c r="Q343" s="2692"/>
      <c r="R343" s="2692"/>
      <c r="S343" s="2692"/>
      <c r="T343" s="2692"/>
      <c r="U343" s="2729">
        <f>U344</f>
        <v>0</v>
      </c>
    </row>
    <row r="344" spans="1:21" ht="21" hidden="1" x14ac:dyDescent="0.25">
      <c r="A344" s="1229"/>
      <c r="B344" s="1182" t="s">
        <v>454</v>
      </c>
      <c r="C344" s="409"/>
      <c r="D344" s="1217" t="s">
        <v>463</v>
      </c>
      <c r="E344" s="1217" t="s">
        <v>495</v>
      </c>
      <c r="F344" s="1217" t="s">
        <v>512</v>
      </c>
      <c r="G344" s="1662" t="s">
        <v>1</v>
      </c>
      <c r="H344" s="2729"/>
      <c r="I344" s="2730"/>
      <c r="J344" s="2731"/>
      <c r="K344" s="2692"/>
      <c r="L344" s="2692"/>
      <c r="M344" s="2692"/>
      <c r="N344" s="2732"/>
      <c r="O344" s="2692"/>
      <c r="P344" s="2692"/>
      <c r="Q344" s="2692"/>
      <c r="R344" s="2692"/>
      <c r="S344" s="2692"/>
      <c r="T344" s="2692"/>
      <c r="U344" s="2729"/>
    </row>
    <row r="345" spans="1:21" ht="21" hidden="1" x14ac:dyDescent="0.25">
      <c r="A345" s="1179"/>
      <c r="B345" s="1247" t="s">
        <v>511</v>
      </c>
      <c r="C345" s="1227"/>
      <c r="D345" s="1248" t="s">
        <v>463</v>
      </c>
      <c r="E345" s="1248" t="s">
        <v>495</v>
      </c>
      <c r="F345" s="1248" t="s">
        <v>510</v>
      </c>
      <c r="G345" s="1666"/>
      <c r="H345" s="2742">
        <f>H346+H350</f>
        <v>0</v>
      </c>
      <c r="I345" s="2744">
        <f>I346+I350</f>
        <v>0</v>
      </c>
      <c r="J345" s="2751">
        <f>J346+J350</f>
        <v>0</v>
      </c>
      <c r="K345" s="2692"/>
      <c r="L345" s="2692"/>
      <c r="M345" s="2692"/>
      <c r="N345" s="2743">
        <f>N346+N350</f>
        <v>0</v>
      </c>
      <c r="O345" s="2692"/>
      <c r="P345" s="2692"/>
      <c r="Q345" s="2692"/>
      <c r="R345" s="2692"/>
      <c r="S345" s="2692"/>
      <c r="T345" s="2692"/>
      <c r="U345" s="2742">
        <f>U346+U350</f>
        <v>0</v>
      </c>
    </row>
    <row r="346" spans="1:21" hidden="1" x14ac:dyDescent="0.25">
      <c r="A346" s="842"/>
      <c r="B346" s="1224" t="s">
        <v>351</v>
      </c>
      <c r="C346" s="1217"/>
      <c r="D346" s="1217" t="s">
        <v>463</v>
      </c>
      <c r="E346" s="1217" t="s">
        <v>495</v>
      </c>
      <c r="F346" s="1217" t="s">
        <v>508</v>
      </c>
      <c r="G346" s="1664"/>
      <c r="H346" s="2729">
        <f>H347+H348+H349</f>
        <v>0</v>
      </c>
      <c r="I346" s="2730">
        <f>I347+I348+I349</f>
        <v>0</v>
      </c>
      <c r="J346" s="2731">
        <f>J347+J348+J349</f>
        <v>0</v>
      </c>
      <c r="K346" s="2692"/>
      <c r="L346" s="2692"/>
      <c r="M346" s="2692"/>
      <c r="N346" s="2732">
        <f>N347+N348+N349</f>
        <v>0</v>
      </c>
      <c r="O346" s="2692"/>
      <c r="P346" s="2692"/>
      <c r="Q346" s="2692"/>
      <c r="R346" s="2692"/>
      <c r="S346" s="2692"/>
      <c r="T346" s="2692"/>
      <c r="U346" s="2729">
        <f>U347+U348+U349</f>
        <v>0</v>
      </c>
    </row>
    <row r="347" spans="1:21" hidden="1" x14ac:dyDescent="0.25">
      <c r="A347" s="1179"/>
      <c r="B347" s="1182" t="s">
        <v>458</v>
      </c>
      <c r="C347" s="409"/>
      <c r="D347" s="1217" t="s">
        <v>463</v>
      </c>
      <c r="E347" s="1217" t="s">
        <v>495</v>
      </c>
      <c r="F347" s="1217" t="s">
        <v>508</v>
      </c>
      <c r="G347" s="1662" t="s">
        <v>255</v>
      </c>
      <c r="H347" s="2729"/>
      <c r="I347" s="2730"/>
      <c r="J347" s="2731"/>
      <c r="K347" s="2692"/>
      <c r="L347" s="2692"/>
      <c r="M347" s="2692"/>
      <c r="N347" s="2732"/>
      <c r="O347" s="2692"/>
      <c r="P347" s="2692"/>
      <c r="Q347" s="2692"/>
      <c r="R347" s="2692"/>
      <c r="S347" s="2692"/>
      <c r="T347" s="2692"/>
      <c r="U347" s="2729"/>
    </row>
    <row r="348" spans="1:21" ht="21" hidden="1" x14ac:dyDescent="0.25">
      <c r="A348" s="1179"/>
      <c r="B348" s="1182" t="s">
        <v>454</v>
      </c>
      <c r="C348" s="409"/>
      <c r="D348" s="1217" t="s">
        <v>463</v>
      </c>
      <c r="E348" s="1217" t="s">
        <v>495</v>
      </c>
      <c r="F348" s="1217" t="s">
        <v>508</v>
      </c>
      <c r="G348" s="1662" t="s">
        <v>1</v>
      </c>
      <c r="H348" s="2729"/>
      <c r="I348" s="2730"/>
      <c r="J348" s="2731"/>
      <c r="K348" s="2692"/>
      <c r="L348" s="2692"/>
      <c r="M348" s="2692"/>
      <c r="N348" s="2732"/>
      <c r="O348" s="2692"/>
      <c r="P348" s="2692"/>
      <c r="Q348" s="2692"/>
      <c r="R348" s="2692"/>
      <c r="S348" s="2692"/>
      <c r="T348" s="2692"/>
      <c r="U348" s="2729"/>
    </row>
    <row r="349" spans="1:21" hidden="1" x14ac:dyDescent="0.25">
      <c r="A349" s="1179"/>
      <c r="B349" s="1182" t="s">
        <v>457</v>
      </c>
      <c r="C349" s="409"/>
      <c r="D349" s="1217" t="s">
        <v>463</v>
      </c>
      <c r="E349" s="1217" t="s">
        <v>495</v>
      </c>
      <c r="F349" s="1217" t="s">
        <v>508</v>
      </c>
      <c r="G349" s="1662" t="s">
        <v>91</v>
      </c>
      <c r="H349" s="2729"/>
      <c r="I349" s="2730"/>
      <c r="J349" s="2731"/>
      <c r="K349" s="2692"/>
      <c r="L349" s="2692"/>
      <c r="M349" s="2692"/>
      <c r="N349" s="2732"/>
      <c r="O349" s="2692"/>
      <c r="P349" s="2692"/>
      <c r="Q349" s="2692"/>
      <c r="R349" s="2692"/>
      <c r="S349" s="2692"/>
      <c r="T349" s="2692"/>
      <c r="U349" s="2729"/>
    </row>
    <row r="350" spans="1:21" ht="15" hidden="1" customHeight="1" x14ac:dyDescent="0.25">
      <c r="A350" s="842"/>
      <c r="B350" s="1180"/>
      <c r="C350" s="1217"/>
      <c r="D350" s="1217" t="s">
        <v>463</v>
      </c>
      <c r="E350" s="1217" t="s">
        <v>495</v>
      </c>
      <c r="F350" s="1217" t="s">
        <v>183</v>
      </c>
      <c r="G350" s="1664"/>
      <c r="H350" s="2729">
        <f>H351</f>
        <v>0</v>
      </c>
      <c r="I350" s="2730">
        <f>I351</f>
        <v>0</v>
      </c>
      <c r="J350" s="2731">
        <f>J351</f>
        <v>0</v>
      </c>
      <c r="K350" s="2692"/>
      <c r="L350" s="2692"/>
      <c r="M350" s="2692"/>
      <c r="N350" s="2732">
        <f>N351</f>
        <v>0</v>
      </c>
      <c r="O350" s="2692"/>
      <c r="P350" s="2692"/>
      <c r="Q350" s="2692"/>
      <c r="R350" s="2692"/>
      <c r="S350" s="2692"/>
      <c r="T350" s="2692"/>
      <c r="U350" s="2729">
        <f>U351</f>
        <v>0</v>
      </c>
    </row>
    <row r="351" spans="1:21" ht="30.75" hidden="1" customHeight="1" x14ac:dyDescent="0.25">
      <c r="A351" s="1179"/>
      <c r="B351" s="1191" t="s">
        <v>916</v>
      </c>
      <c r="C351" s="1193"/>
      <c r="D351" s="1531" t="s">
        <v>463</v>
      </c>
      <c r="E351" s="1531" t="s">
        <v>495</v>
      </c>
      <c r="F351" s="1531" t="s">
        <v>183</v>
      </c>
      <c r="G351" s="1663" t="s">
        <v>521</v>
      </c>
      <c r="H351" s="2729">
        <f>722.93+5324.558+935-6982.488</f>
        <v>0</v>
      </c>
      <c r="I351" s="2730"/>
      <c r="J351" s="2731"/>
      <c r="K351" s="2692"/>
      <c r="L351" s="2692"/>
      <c r="M351" s="2692"/>
      <c r="N351" s="2732">
        <f>722.93+5324.558+935-6982.488</f>
        <v>0</v>
      </c>
      <c r="O351" s="2692"/>
      <c r="P351" s="2692"/>
      <c r="Q351" s="2692"/>
      <c r="R351" s="2692"/>
      <c r="S351" s="2692"/>
      <c r="T351" s="2692"/>
      <c r="U351" s="2729">
        <f>722.93+5324.558+935-6982.488</f>
        <v>0</v>
      </c>
    </row>
    <row r="352" spans="1:21" ht="30.75" hidden="1" customHeight="1" x14ac:dyDescent="0.25">
      <c r="A352" s="732"/>
      <c r="B352" s="1869" t="s">
        <v>1013</v>
      </c>
      <c r="C352" s="1193"/>
      <c r="D352" s="1531" t="s">
        <v>463</v>
      </c>
      <c r="E352" s="1531" t="s">
        <v>495</v>
      </c>
      <c r="F352" s="409" t="s">
        <v>1014</v>
      </c>
      <c r="G352" s="1663"/>
      <c r="H352" s="2729">
        <f>H353</f>
        <v>0</v>
      </c>
      <c r="I352" s="2730"/>
      <c r="J352" s="2731"/>
      <c r="K352" s="2692"/>
      <c r="L352" s="2692"/>
      <c r="M352" s="2692"/>
      <c r="N352" s="2752"/>
      <c r="O352" s="2692"/>
      <c r="P352" s="2692"/>
      <c r="Q352" s="2692"/>
      <c r="R352" s="2692"/>
      <c r="S352" s="2692"/>
      <c r="T352" s="2692"/>
      <c r="U352" s="2729"/>
    </row>
    <row r="353" spans="1:26" ht="30.75" hidden="1" customHeight="1" x14ac:dyDescent="0.25">
      <c r="A353" s="732"/>
      <c r="B353" s="1870" t="s">
        <v>1015</v>
      </c>
      <c r="C353" s="1193"/>
      <c r="D353" s="1531" t="s">
        <v>463</v>
      </c>
      <c r="E353" s="1531" t="s">
        <v>495</v>
      </c>
      <c r="F353" s="1534" t="s">
        <v>1016</v>
      </c>
      <c r="G353" s="1663"/>
      <c r="H353" s="2729">
        <f>H354</f>
        <v>0</v>
      </c>
      <c r="I353" s="2730"/>
      <c r="J353" s="2731"/>
      <c r="K353" s="2692"/>
      <c r="L353" s="2692"/>
      <c r="M353" s="2692"/>
      <c r="N353" s="2752"/>
      <c r="O353" s="2692"/>
      <c r="P353" s="2692"/>
      <c r="Q353" s="2692"/>
      <c r="R353" s="2692"/>
      <c r="S353" s="2692"/>
      <c r="T353" s="2692"/>
      <c r="U353" s="2729"/>
    </row>
    <row r="354" spans="1:26" ht="30.75" hidden="1" customHeight="1" x14ac:dyDescent="0.25">
      <c r="A354" s="732"/>
      <c r="B354" s="1871" t="s">
        <v>1017</v>
      </c>
      <c r="C354" s="1193"/>
      <c r="D354" s="1531" t="s">
        <v>463</v>
      </c>
      <c r="E354" s="1531" t="s">
        <v>495</v>
      </c>
      <c r="F354" s="409" t="s">
        <v>1018</v>
      </c>
      <c r="G354" s="1663"/>
      <c r="H354" s="2729">
        <f>H355</f>
        <v>0</v>
      </c>
      <c r="I354" s="2730"/>
      <c r="J354" s="2731"/>
      <c r="K354" s="2692"/>
      <c r="L354" s="2692"/>
      <c r="M354" s="2692"/>
      <c r="N354" s="2752"/>
      <c r="O354" s="2692"/>
      <c r="P354" s="2692"/>
      <c r="Q354" s="2692"/>
      <c r="R354" s="2692"/>
      <c r="S354" s="2692"/>
      <c r="T354" s="2692"/>
      <c r="U354" s="2729"/>
    </row>
    <row r="355" spans="1:26" ht="30.75" hidden="1" customHeight="1" x14ac:dyDescent="0.25">
      <c r="A355" s="732"/>
      <c r="B355" s="1182" t="s">
        <v>454</v>
      </c>
      <c r="C355" s="1193"/>
      <c r="D355" s="1531" t="s">
        <v>463</v>
      </c>
      <c r="E355" s="1531" t="s">
        <v>495</v>
      </c>
      <c r="F355" s="409" t="s">
        <v>1018</v>
      </c>
      <c r="G355" s="1663" t="s">
        <v>1</v>
      </c>
      <c r="H355" s="2729"/>
      <c r="I355" s="2730"/>
      <c r="J355" s="2731"/>
      <c r="K355" s="2692"/>
      <c r="L355" s="2692"/>
      <c r="M355" s="2692"/>
      <c r="N355" s="2752"/>
      <c r="O355" s="2692"/>
      <c r="P355" s="2692"/>
      <c r="Q355" s="2692"/>
      <c r="R355" s="2692"/>
      <c r="S355" s="2692"/>
      <c r="T355" s="2692"/>
      <c r="U355" s="2729"/>
    </row>
    <row r="356" spans="1:26" ht="30.75" customHeight="1" x14ac:dyDescent="0.25">
      <c r="A356" s="732"/>
      <c r="B356" s="1203" t="s">
        <v>1059</v>
      </c>
      <c r="C356" s="1193"/>
      <c r="D356" s="1217" t="s">
        <v>463</v>
      </c>
      <c r="E356" s="1217" t="s">
        <v>495</v>
      </c>
      <c r="F356" s="409" t="s">
        <v>468</v>
      </c>
      <c r="G356" s="1663"/>
      <c r="H356" s="2729">
        <f>H357</f>
        <v>2354.1120000000001</v>
      </c>
      <c r="I356" s="2730"/>
      <c r="J356" s="2731"/>
      <c r="K356" s="2692"/>
      <c r="L356" s="2692"/>
      <c r="M356" s="2692"/>
      <c r="N356" s="2752">
        <f>N357</f>
        <v>500</v>
      </c>
      <c r="O356" s="2692"/>
      <c r="P356" s="2692"/>
      <c r="Q356" s="2692"/>
      <c r="R356" s="2692"/>
      <c r="S356" s="2692"/>
      <c r="T356" s="2692"/>
      <c r="U356" s="2729">
        <f>U357</f>
        <v>500</v>
      </c>
    </row>
    <row r="357" spans="1:26" ht="30.75" customHeight="1" x14ac:dyDescent="0.25">
      <c r="A357" s="732"/>
      <c r="B357" s="1242" t="s">
        <v>1053</v>
      </c>
      <c r="C357" s="1193"/>
      <c r="D357" s="1217" t="s">
        <v>463</v>
      </c>
      <c r="E357" s="1217" t="s">
        <v>495</v>
      </c>
      <c r="F357" s="409" t="s">
        <v>857</v>
      </c>
      <c r="G357" s="1663"/>
      <c r="H357" s="2729">
        <f>H358</f>
        <v>2354.1120000000001</v>
      </c>
      <c r="I357" s="2730"/>
      <c r="J357" s="2731"/>
      <c r="K357" s="2692"/>
      <c r="L357" s="2692"/>
      <c r="M357" s="2692"/>
      <c r="N357" s="2752">
        <f>N358</f>
        <v>500</v>
      </c>
      <c r="O357" s="2692"/>
      <c r="P357" s="2692"/>
      <c r="Q357" s="2692"/>
      <c r="R357" s="2692"/>
      <c r="S357" s="2692"/>
      <c r="T357" s="2692"/>
      <c r="U357" s="2729">
        <f>U358</f>
        <v>500</v>
      </c>
    </row>
    <row r="358" spans="1:26" ht="30.75" customHeight="1" x14ac:dyDescent="0.25">
      <c r="A358" s="732"/>
      <c r="B358" s="1242" t="s">
        <v>467</v>
      </c>
      <c r="C358" s="409"/>
      <c r="D358" s="1217" t="s">
        <v>463</v>
      </c>
      <c r="E358" s="1217" t="s">
        <v>495</v>
      </c>
      <c r="F358" s="409" t="s">
        <v>858</v>
      </c>
      <c r="G358" s="1663"/>
      <c r="H358" s="2729">
        <f>H359</f>
        <v>2354.1120000000001</v>
      </c>
      <c r="I358" s="2730"/>
      <c r="J358" s="2731"/>
      <c r="K358" s="2692"/>
      <c r="L358" s="2692"/>
      <c r="M358" s="2692"/>
      <c r="N358" s="2752">
        <f>N359</f>
        <v>500</v>
      </c>
      <c r="O358" s="2692"/>
      <c r="P358" s="2692"/>
      <c r="Q358" s="2692"/>
      <c r="R358" s="2692"/>
      <c r="S358" s="2692"/>
      <c r="T358" s="2692"/>
      <c r="U358" s="2729">
        <f>U359</f>
        <v>500</v>
      </c>
    </row>
    <row r="359" spans="1:26" ht="30.75" customHeight="1" x14ac:dyDescent="0.25">
      <c r="A359" s="732"/>
      <c r="B359" s="1242" t="s">
        <v>1054</v>
      </c>
      <c r="C359" s="1193"/>
      <c r="D359" s="1217" t="s">
        <v>463</v>
      </c>
      <c r="E359" s="1217" t="s">
        <v>495</v>
      </c>
      <c r="F359" s="409" t="s">
        <v>1055</v>
      </c>
      <c r="G359" s="1663"/>
      <c r="H359" s="2729">
        <f>H361</f>
        <v>2354.1120000000001</v>
      </c>
      <c r="I359" s="2730"/>
      <c r="J359" s="2731"/>
      <c r="K359" s="2692"/>
      <c r="L359" s="2692"/>
      <c r="M359" s="2692"/>
      <c r="N359" s="2752">
        <f>N361</f>
        <v>500</v>
      </c>
      <c r="O359" s="2692"/>
      <c r="P359" s="2692"/>
      <c r="Q359" s="2692"/>
      <c r="R359" s="2692"/>
      <c r="S359" s="2692"/>
      <c r="T359" s="2692"/>
      <c r="U359" s="2729">
        <f>U361</f>
        <v>500</v>
      </c>
    </row>
    <row r="360" spans="1:26" ht="23.15" customHeight="1" x14ac:dyDescent="0.25">
      <c r="A360" s="732"/>
      <c r="B360" s="1182" t="s">
        <v>1048</v>
      </c>
      <c r="C360" s="1193"/>
      <c r="D360" s="1217" t="s">
        <v>463</v>
      </c>
      <c r="E360" s="1217" t="s">
        <v>495</v>
      </c>
      <c r="F360" s="409" t="s">
        <v>1055</v>
      </c>
      <c r="G360" s="1663" t="s">
        <v>955</v>
      </c>
      <c r="H360" s="2729">
        <v>2354.1120000000001</v>
      </c>
      <c r="I360" s="2730"/>
      <c r="J360" s="2731"/>
      <c r="K360" s="2692"/>
      <c r="L360" s="2692"/>
      <c r="M360" s="2692"/>
      <c r="N360" s="2752">
        <v>500</v>
      </c>
      <c r="O360" s="2692"/>
      <c r="P360" s="2692"/>
      <c r="Q360" s="2692"/>
      <c r="R360" s="2692"/>
      <c r="S360" s="2692"/>
      <c r="T360" s="2692"/>
      <c r="U360" s="2729">
        <v>500</v>
      </c>
    </row>
    <row r="361" spans="1:26" ht="30.75" customHeight="1" x14ac:dyDescent="0.25">
      <c r="A361" s="732"/>
      <c r="B361" s="1182" t="s">
        <v>454</v>
      </c>
      <c r="C361" s="1193"/>
      <c r="D361" s="1217" t="s">
        <v>463</v>
      </c>
      <c r="E361" s="1217" t="s">
        <v>495</v>
      </c>
      <c r="F361" s="409" t="s">
        <v>1055</v>
      </c>
      <c r="G361" s="1663" t="s">
        <v>1</v>
      </c>
      <c r="H361" s="2753">
        <v>2354.1120000000001</v>
      </c>
      <c r="I361" s="2754"/>
      <c r="J361" s="2755"/>
      <c r="K361" s="2756"/>
      <c r="L361" s="2757"/>
      <c r="M361" s="2692"/>
      <c r="N361" s="2729">
        <v>500</v>
      </c>
      <c r="O361" s="2692"/>
      <c r="P361" s="2758">
        <v>500</v>
      </c>
      <c r="Q361" s="2758">
        <v>500</v>
      </c>
      <c r="R361" s="2692"/>
      <c r="S361" s="2692"/>
      <c r="T361" s="2692"/>
      <c r="U361" s="2729">
        <v>500</v>
      </c>
      <c r="Z361" s="1">
        <v>2136.73</v>
      </c>
    </row>
    <row r="362" spans="1:26" ht="30.75" customHeight="1" x14ac:dyDescent="0.25">
      <c r="A362" s="732"/>
      <c r="B362" s="1242" t="s">
        <v>1138</v>
      </c>
      <c r="C362" s="1193"/>
      <c r="D362" s="1217" t="s">
        <v>463</v>
      </c>
      <c r="E362" s="1217" t="s">
        <v>495</v>
      </c>
      <c r="F362" s="409" t="s">
        <v>1139</v>
      </c>
      <c r="G362" s="1663"/>
      <c r="H362" s="2729">
        <f>H363</f>
        <v>0</v>
      </c>
      <c r="I362" s="2754"/>
      <c r="J362" s="2759"/>
      <c r="K362" s="2760"/>
      <c r="L362" s="2760"/>
      <c r="M362" s="2692"/>
      <c r="N362" s="2729">
        <f>N363</f>
        <v>945.56500000000005</v>
      </c>
      <c r="O362" s="2692"/>
      <c r="P362" s="2761"/>
      <c r="Q362" s="2761"/>
      <c r="R362" s="2692"/>
      <c r="S362" s="2692"/>
      <c r="T362" s="2692"/>
      <c r="U362" s="2729">
        <f>U363</f>
        <v>0</v>
      </c>
    </row>
    <row r="363" spans="1:26" ht="33" customHeight="1" x14ac:dyDescent="0.25">
      <c r="A363" s="732"/>
      <c r="B363" s="1242" t="s">
        <v>1141</v>
      </c>
      <c r="C363" s="1193"/>
      <c r="D363" s="1217" t="s">
        <v>463</v>
      </c>
      <c r="E363" s="1217" t="s">
        <v>495</v>
      </c>
      <c r="F363" s="409" t="s">
        <v>1140</v>
      </c>
      <c r="G363" s="1663"/>
      <c r="H363" s="2729">
        <f>H364</f>
        <v>0</v>
      </c>
      <c r="I363" s="2754"/>
      <c r="J363" s="2759"/>
      <c r="K363" s="2760"/>
      <c r="L363" s="2760"/>
      <c r="M363" s="2692"/>
      <c r="N363" s="2729">
        <f>N364</f>
        <v>945.56500000000005</v>
      </c>
      <c r="O363" s="2692"/>
      <c r="P363" s="2761"/>
      <c r="Q363" s="2761"/>
      <c r="R363" s="2692"/>
      <c r="S363" s="2692"/>
      <c r="T363" s="2692"/>
      <c r="U363" s="2729">
        <f>U364</f>
        <v>0</v>
      </c>
    </row>
    <row r="364" spans="1:26" ht="27.75" customHeight="1" x14ac:dyDescent="0.25">
      <c r="A364" s="732"/>
      <c r="B364" s="1242" t="s">
        <v>1147</v>
      </c>
      <c r="C364" s="1193"/>
      <c r="D364" s="1217" t="s">
        <v>463</v>
      </c>
      <c r="E364" s="1217" t="s">
        <v>495</v>
      </c>
      <c r="F364" s="409" t="s">
        <v>1140</v>
      </c>
      <c r="G364" s="1663"/>
      <c r="H364" s="2729">
        <f>H365</f>
        <v>0</v>
      </c>
      <c r="I364" s="2754"/>
      <c r="J364" s="2759"/>
      <c r="K364" s="2760"/>
      <c r="L364" s="2760"/>
      <c r="M364" s="2692"/>
      <c r="N364" s="2729">
        <f>N365</f>
        <v>945.56500000000005</v>
      </c>
      <c r="O364" s="2692"/>
      <c r="P364" s="2761"/>
      <c r="Q364" s="2761"/>
      <c r="R364" s="2692"/>
      <c r="S364" s="2692"/>
      <c r="T364" s="2692"/>
      <c r="U364" s="2729">
        <f>U365</f>
        <v>0</v>
      </c>
    </row>
    <row r="365" spans="1:26" ht="30.75" customHeight="1" x14ac:dyDescent="0.25">
      <c r="A365" s="732"/>
      <c r="B365" s="1182" t="s">
        <v>1048</v>
      </c>
      <c r="C365" s="1193"/>
      <c r="D365" s="1217" t="s">
        <v>463</v>
      </c>
      <c r="E365" s="1217" t="s">
        <v>495</v>
      </c>
      <c r="F365" s="409" t="s">
        <v>1142</v>
      </c>
      <c r="G365" s="1663" t="s">
        <v>955</v>
      </c>
      <c r="H365" s="2729">
        <f>H366</f>
        <v>0</v>
      </c>
      <c r="I365" s="2754"/>
      <c r="J365" s="2759"/>
      <c r="K365" s="2760"/>
      <c r="L365" s="2760"/>
      <c r="M365" s="2692"/>
      <c r="N365" s="2729">
        <f>N366</f>
        <v>945.56500000000005</v>
      </c>
      <c r="O365" s="2692"/>
      <c r="P365" s="2761"/>
      <c r="Q365" s="2761"/>
      <c r="R365" s="2692"/>
      <c r="S365" s="2692"/>
      <c r="T365" s="2692"/>
      <c r="U365" s="2729">
        <f>U366</f>
        <v>0</v>
      </c>
    </row>
    <row r="366" spans="1:26" ht="30.75" customHeight="1" x14ac:dyDescent="0.25">
      <c r="A366" s="732"/>
      <c r="B366" s="1182" t="s">
        <v>454</v>
      </c>
      <c r="C366" s="1193"/>
      <c r="D366" s="1217" t="s">
        <v>463</v>
      </c>
      <c r="E366" s="1217" t="s">
        <v>495</v>
      </c>
      <c r="F366" s="409" t="s">
        <v>1142</v>
      </c>
      <c r="G366" s="1663" t="s">
        <v>1</v>
      </c>
      <c r="H366" s="2729">
        <v>0</v>
      </c>
      <c r="I366" s="2730"/>
      <c r="J366" s="2731"/>
      <c r="K366" s="2692"/>
      <c r="L366" s="2692"/>
      <c r="M366" s="2692"/>
      <c r="N366" s="2752">
        <v>945.56500000000005</v>
      </c>
      <c r="O366" s="2692"/>
      <c r="P366" s="2692"/>
      <c r="Q366" s="2692"/>
      <c r="R366" s="2692"/>
      <c r="S366" s="2692"/>
      <c r="T366" s="2692"/>
      <c r="U366" s="2729">
        <v>0</v>
      </c>
    </row>
    <row r="367" spans="1:26" ht="30.75" customHeight="1" x14ac:dyDescent="0.25">
      <c r="A367" s="732"/>
      <c r="B367" s="1242" t="s">
        <v>1049</v>
      </c>
      <c r="C367" s="1193"/>
      <c r="D367" s="1248" t="s">
        <v>463</v>
      </c>
      <c r="E367" s="1248" t="s">
        <v>495</v>
      </c>
      <c r="F367" s="409" t="s">
        <v>1045</v>
      </c>
      <c r="G367" s="1663"/>
      <c r="H367" s="2729">
        <f>H368</f>
        <v>1444.778</v>
      </c>
      <c r="I367" s="2730"/>
      <c r="J367" s="2731"/>
      <c r="K367" s="2692"/>
      <c r="L367" s="2692"/>
      <c r="M367" s="2692"/>
      <c r="N367" s="2752">
        <f>N368</f>
        <v>1170.1120000000001</v>
      </c>
      <c r="O367" s="2692"/>
      <c r="P367" s="2692"/>
      <c r="Q367" s="2692"/>
      <c r="R367" s="2692"/>
      <c r="S367" s="2692"/>
      <c r="T367" s="2692"/>
      <c r="U367" s="2729">
        <f>U368</f>
        <v>874.66700000000003</v>
      </c>
    </row>
    <row r="368" spans="1:26" ht="30.75" customHeight="1" x14ac:dyDescent="0.25">
      <c r="A368" s="732"/>
      <c r="B368" s="1242" t="s">
        <v>1050</v>
      </c>
      <c r="C368" s="1193"/>
      <c r="D368" s="1217" t="s">
        <v>463</v>
      </c>
      <c r="E368" s="1217" t="s">
        <v>495</v>
      </c>
      <c r="F368" s="409" t="s">
        <v>1046</v>
      </c>
      <c r="G368" s="1663"/>
      <c r="H368" s="2729">
        <f>H369</f>
        <v>1444.778</v>
      </c>
      <c r="I368" s="2730"/>
      <c r="J368" s="2731"/>
      <c r="K368" s="2692"/>
      <c r="L368" s="2692"/>
      <c r="M368" s="2692"/>
      <c r="N368" s="2752">
        <f>N369</f>
        <v>1170.1120000000001</v>
      </c>
      <c r="O368" s="2692"/>
      <c r="P368" s="2692"/>
      <c r="Q368" s="2692"/>
      <c r="R368" s="2692"/>
      <c r="S368" s="2692"/>
      <c r="T368" s="2692"/>
      <c r="U368" s="2729">
        <f>U369</f>
        <v>874.66700000000003</v>
      </c>
    </row>
    <row r="369" spans="1:26" ht="30.75" customHeight="1" x14ac:dyDescent="0.25">
      <c r="A369" s="732"/>
      <c r="B369" s="1242" t="s">
        <v>1051</v>
      </c>
      <c r="C369" s="1193"/>
      <c r="D369" s="1217" t="s">
        <v>463</v>
      </c>
      <c r="E369" s="1217" t="s">
        <v>495</v>
      </c>
      <c r="F369" s="409" t="s">
        <v>1052</v>
      </c>
      <c r="G369" s="1663"/>
      <c r="H369" s="2729">
        <f>H371</f>
        <v>1444.778</v>
      </c>
      <c r="I369" s="2730"/>
      <c r="J369" s="2731"/>
      <c r="K369" s="2692"/>
      <c r="L369" s="2692"/>
      <c r="M369" s="2692"/>
      <c r="N369" s="2752">
        <f>N371</f>
        <v>1170.1120000000001</v>
      </c>
      <c r="O369" s="2692"/>
      <c r="P369" s="2692"/>
      <c r="Q369" s="2692"/>
      <c r="R369" s="2692"/>
      <c r="S369" s="2692"/>
      <c r="T369" s="2692"/>
      <c r="U369" s="2729">
        <f>U371</f>
        <v>874.66700000000003</v>
      </c>
    </row>
    <row r="370" spans="1:26" ht="22" customHeight="1" x14ac:dyDescent="0.25">
      <c r="A370" s="732"/>
      <c r="B370" s="1242" t="s">
        <v>1048</v>
      </c>
      <c r="C370" s="1193"/>
      <c r="D370" s="1217" t="s">
        <v>463</v>
      </c>
      <c r="E370" s="1217" t="s">
        <v>495</v>
      </c>
      <c r="F370" s="409" t="s">
        <v>1052</v>
      </c>
      <c r="G370" s="1663" t="s">
        <v>955</v>
      </c>
      <c r="H370" s="2729">
        <f>H371</f>
        <v>1444.778</v>
      </c>
      <c r="I370" s="2730"/>
      <c r="J370" s="2731"/>
      <c r="K370" s="2692"/>
      <c r="L370" s="2692"/>
      <c r="M370" s="2692"/>
      <c r="N370" s="2752">
        <f>N371</f>
        <v>1170.1120000000001</v>
      </c>
      <c r="O370" s="2692"/>
      <c r="P370" s="2692"/>
      <c r="Q370" s="2692"/>
      <c r="R370" s="2692"/>
      <c r="S370" s="2692"/>
      <c r="T370" s="2692"/>
      <c r="U370" s="2729">
        <f>U371</f>
        <v>874.66700000000003</v>
      </c>
    </row>
    <row r="371" spans="1:26" ht="30.75" customHeight="1" x14ac:dyDescent="0.25">
      <c r="A371" s="732"/>
      <c r="B371" s="1182" t="s">
        <v>4</v>
      </c>
      <c r="C371" s="1193"/>
      <c r="D371" s="1217" t="s">
        <v>463</v>
      </c>
      <c r="E371" s="1217" t="s">
        <v>495</v>
      </c>
      <c r="F371" s="409" t="s">
        <v>1052</v>
      </c>
      <c r="G371" s="1663" t="s">
        <v>1</v>
      </c>
      <c r="H371" s="2729">
        <v>1444.778</v>
      </c>
      <c r="I371" s="2730"/>
      <c r="J371" s="2731"/>
      <c r="K371" s="2692"/>
      <c r="L371" s="2692"/>
      <c r="M371" s="2692"/>
      <c r="N371" s="2752">
        <v>1170.1120000000001</v>
      </c>
      <c r="O371" s="2692"/>
      <c r="P371" s="2692"/>
      <c r="Q371" s="2692"/>
      <c r="R371" s="2692"/>
      <c r="S371" s="2692"/>
      <c r="T371" s="2692"/>
      <c r="U371" s="2729">
        <v>874.66700000000003</v>
      </c>
      <c r="Z371" s="1">
        <v>643.25</v>
      </c>
    </row>
    <row r="372" spans="1:26" ht="37" customHeight="1" x14ac:dyDescent="0.25">
      <c r="A372" s="732"/>
      <c r="B372" s="1872" t="s">
        <v>1095</v>
      </c>
      <c r="C372" s="409"/>
      <c r="D372" s="1248" t="s">
        <v>463</v>
      </c>
      <c r="E372" s="1248" t="s">
        <v>495</v>
      </c>
      <c r="F372" s="409" t="s">
        <v>952</v>
      </c>
      <c r="G372" s="1667"/>
      <c r="H372" s="2729">
        <f>H376+H382</f>
        <v>0</v>
      </c>
      <c r="I372" s="2730"/>
      <c r="J372" s="2731"/>
      <c r="K372" s="2692"/>
      <c r="L372" s="2692"/>
      <c r="M372" s="2692"/>
      <c r="N372" s="2752">
        <f>N376+N382</f>
        <v>974.88388999999995</v>
      </c>
      <c r="O372" s="2692"/>
      <c r="P372" s="2692"/>
      <c r="Q372" s="2692"/>
      <c r="R372" s="2692"/>
      <c r="S372" s="2692"/>
      <c r="T372" s="2692"/>
      <c r="U372" s="2729">
        <f>U381+U385</f>
        <v>706.66449999999998</v>
      </c>
    </row>
    <row r="373" spans="1:26" ht="30.75" hidden="1" customHeight="1" x14ac:dyDescent="0.25">
      <c r="A373" s="732"/>
      <c r="B373" s="1873" t="s">
        <v>1128</v>
      </c>
      <c r="C373" s="409"/>
      <c r="D373" s="409" t="s">
        <v>463</v>
      </c>
      <c r="E373" s="409" t="s">
        <v>495</v>
      </c>
      <c r="F373" s="409" t="s">
        <v>953</v>
      </c>
      <c r="G373" s="1668"/>
      <c r="H373" s="2729">
        <f>H374</f>
        <v>0</v>
      </c>
      <c r="I373" s="2730"/>
      <c r="J373" s="2731"/>
      <c r="K373" s="2692"/>
      <c r="L373" s="2692"/>
      <c r="M373" s="2692"/>
      <c r="N373" s="2752">
        <f>N374</f>
        <v>0</v>
      </c>
      <c r="O373" s="2692"/>
      <c r="P373" s="2692"/>
      <c r="Q373" s="2692"/>
      <c r="R373" s="2692"/>
      <c r="S373" s="2692"/>
      <c r="T373" s="2692"/>
      <c r="U373" s="2729">
        <f>U374</f>
        <v>699</v>
      </c>
    </row>
    <row r="374" spans="1:26" ht="30.75" hidden="1" customHeight="1" x14ac:dyDescent="0.25">
      <c r="A374" s="732"/>
      <c r="B374" s="1874" t="s">
        <v>1127</v>
      </c>
      <c r="C374" s="409"/>
      <c r="D374" s="409" t="s">
        <v>463</v>
      </c>
      <c r="E374" s="409" t="s">
        <v>495</v>
      </c>
      <c r="F374" s="409" t="s">
        <v>1126</v>
      </c>
      <c r="G374" s="1875"/>
      <c r="H374" s="2729">
        <f>H375</f>
        <v>0</v>
      </c>
      <c r="I374" s="2730"/>
      <c r="J374" s="2731"/>
      <c r="K374" s="2692"/>
      <c r="L374" s="2692"/>
      <c r="M374" s="2692"/>
      <c r="N374" s="2752">
        <f>N375</f>
        <v>0</v>
      </c>
      <c r="O374" s="2692"/>
      <c r="P374" s="2692"/>
      <c r="Q374" s="2692"/>
      <c r="R374" s="2692"/>
      <c r="S374" s="2692"/>
      <c r="T374" s="2692"/>
      <c r="U374" s="2729">
        <f>U375</f>
        <v>699</v>
      </c>
    </row>
    <row r="375" spans="1:26" ht="30.75" hidden="1" customHeight="1" x14ac:dyDescent="0.25">
      <c r="A375" s="732"/>
      <c r="B375" s="753" t="s">
        <v>948</v>
      </c>
      <c r="C375" s="409"/>
      <c r="D375" s="1217" t="s">
        <v>463</v>
      </c>
      <c r="E375" s="1217" t="s">
        <v>495</v>
      </c>
      <c r="F375" s="409" t="s">
        <v>1126</v>
      </c>
      <c r="G375" s="1876" t="s">
        <v>955</v>
      </c>
      <c r="H375" s="2729">
        <f>H376</f>
        <v>0</v>
      </c>
      <c r="I375" s="2730"/>
      <c r="J375" s="2731"/>
      <c r="K375" s="2692"/>
      <c r="L375" s="2692"/>
      <c r="M375" s="2692"/>
      <c r="N375" s="2752">
        <f>N376</f>
        <v>0</v>
      </c>
      <c r="O375" s="2692"/>
      <c r="P375" s="2692"/>
      <c r="Q375" s="2692"/>
      <c r="R375" s="2692"/>
      <c r="S375" s="2692"/>
      <c r="T375" s="2692"/>
      <c r="U375" s="2729">
        <f>U376</f>
        <v>699</v>
      </c>
    </row>
    <row r="376" spans="1:26" ht="30.75" hidden="1" customHeight="1" x14ac:dyDescent="0.25">
      <c r="A376" s="732"/>
      <c r="B376" s="1182" t="s">
        <v>454</v>
      </c>
      <c r="C376" s="409"/>
      <c r="D376" s="1217" t="s">
        <v>463</v>
      </c>
      <c r="E376" s="1217" t="s">
        <v>495</v>
      </c>
      <c r="F376" s="409" t="s">
        <v>1126</v>
      </c>
      <c r="G376" s="1662" t="s">
        <v>1</v>
      </c>
      <c r="H376" s="2729">
        <f>H377</f>
        <v>0</v>
      </c>
      <c r="I376" s="2730"/>
      <c r="J376" s="2731"/>
      <c r="K376" s="2692">
        <v>450</v>
      </c>
      <c r="L376" s="2692"/>
      <c r="M376" s="2692"/>
      <c r="N376" s="2752">
        <f>N377</f>
        <v>0</v>
      </c>
      <c r="O376" s="2692"/>
      <c r="P376" s="2692"/>
      <c r="Q376" s="2692"/>
      <c r="R376" s="2692"/>
      <c r="S376" s="2692"/>
      <c r="T376" s="2692"/>
      <c r="U376" s="2729">
        <f>U377</f>
        <v>699</v>
      </c>
    </row>
    <row r="377" spans="1:26" ht="30.75" hidden="1" customHeight="1" x14ac:dyDescent="0.25">
      <c r="A377" s="732"/>
      <c r="B377" s="1182" t="s">
        <v>1136</v>
      </c>
      <c r="C377" s="409"/>
      <c r="D377" s="1217" t="s">
        <v>463</v>
      </c>
      <c r="E377" s="1217" t="s">
        <v>495</v>
      </c>
      <c r="F377" s="409" t="s">
        <v>1126</v>
      </c>
      <c r="G377" s="1662" t="s">
        <v>1</v>
      </c>
      <c r="H377" s="2729">
        <v>0</v>
      </c>
      <c r="I377" s="2730"/>
      <c r="J377" s="2731"/>
      <c r="K377" s="2692"/>
      <c r="L377" s="2692"/>
      <c r="M377" s="2692"/>
      <c r="N377" s="2752">
        <v>0</v>
      </c>
      <c r="O377" s="2692"/>
      <c r="P377" s="2692"/>
      <c r="Q377" s="2692"/>
      <c r="R377" s="2692"/>
      <c r="S377" s="2692"/>
      <c r="T377" s="2692"/>
      <c r="U377" s="2729">
        <f>6291+699-6291</f>
        <v>699</v>
      </c>
    </row>
    <row r="378" spans="1:26" ht="30.75" customHeight="1" x14ac:dyDescent="0.25">
      <c r="A378" s="732"/>
      <c r="B378" s="1182" t="s">
        <v>1128</v>
      </c>
      <c r="C378" s="409"/>
      <c r="D378" s="1248" t="s">
        <v>463</v>
      </c>
      <c r="E378" s="1248" t="s">
        <v>495</v>
      </c>
      <c r="F378" s="409" t="s">
        <v>1125</v>
      </c>
      <c r="G378" s="1662"/>
      <c r="H378" s="2729">
        <f>H379</f>
        <v>0</v>
      </c>
      <c r="I378" s="2730"/>
      <c r="J378" s="2731"/>
      <c r="K378" s="2692"/>
      <c r="L378" s="2692"/>
      <c r="M378" s="2692"/>
      <c r="N378" s="2752">
        <f>N379</f>
        <v>0</v>
      </c>
      <c r="O378" s="2692"/>
      <c r="P378" s="2692"/>
      <c r="Q378" s="2692"/>
      <c r="R378" s="2692"/>
      <c r="S378" s="2692"/>
      <c r="T378" s="2692"/>
      <c r="U378" s="2729">
        <f>U379</f>
        <v>706.66449999999998</v>
      </c>
    </row>
    <row r="379" spans="1:26" ht="30.75" customHeight="1" x14ac:dyDescent="0.25">
      <c r="A379" s="732"/>
      <c r="B379" s="1182" t="s">
        <v>1127</v>
      </c>
      <c r="C379" s="409"/>
      <c r="D379" s="1248" t="s">
        <v>463</v>
      </c>
      <c r="E379" s="1248" t="s">
        <v>495</v>
      </c>
      <c r="F379" s="409" t="s">
        <v>1126</v>
      </c>
      <c r="G379" s="1662"/>
      <c r="H379" s="2729">
        <f>H380</f>
        <v>0</v>
      </c>
      <c r="I379" s="2730"/>
      <c r="J379" s="2731"/>
      <c r="K379" s="2692"/>
      <c r="L379" s="2692"/>
      <c r="M379" s="2692"/>
      <c r="N379" s="2752">
        <f>N380</f>
        <v>0</v>
      </c>
      <c r="O379" s="2692"/>
      <c r="P379" s="2692"/>
      <c r="Q379" s="2692"/>
      <c r="R379" s="2692"/>
      <c r="S379" s="2692"/>
      <c r="T379" s="2692"/>
      <c r="U379" s="2729">
        <f>U380</f>
        <v>706.66449999999998</v>
      </c>
    </row>
    <row r="380" spans="1:26" ht="30.75" customHeight="1" x14ac:dyDescent="0.25">
      <c r="A380" s="732"/>
      <c r="B380" s="1242" t="s">
        <v>1048</v>
      </c>
      <c r="C380" s="409"/>
      <c r="D380" s="1248" t="s">
        <v>463</v>
      </c>
      <c r="E380" s="1248" t="s">
        <v>495</v>
      </c>
      <c r="F380" s="409" t="s">
        <v>1126</v>
      </c>
      <c r="G380" s="1663" t="s">
        <v>955</v>
      </c>
      <c r="H380" s="2729">
        <f>H381</f>
        <v>0</v>
      </c>
      <c r="I380" s="2730"/>
      <c r="J380" s="2731"/>
      <c r="K380" s="2692"/>
      <c r="L380" s="2692"/>
      <c r="M380" s="2692"/>
      <c r="N380" s="2752">
        <f>N381</f>
        <v>0</v>
      </c>
      <c r="O380" s="2692"/>
      <c r="P380" s="2692"/>
      <c r="Q380" s="2692"/>
      <c r="R380" s="2692"/>
      <c r="S380" s="2692"/>
      <c r="T380" s="2692"/>
      <c r="U380" s="2729">
        <f>U381</f>
        <v>706.66449999999998</v>
      </c>
    </row>
    <row r="381" spans="1:26" ht="30.75" customHeight="1" x14ac:dyDescent="0.25">
      <c r="A381" s="732"/>
      <c r="B381" s="1182" t="s">
        <v>4</v>
      </c>
      <c r="C381" s="409"/>
      <c r="D381" s="1248" t="s">
        <v>463</v>
      </c>
      <c r="E381" s="1248" t="s">
        <v>495</v>
      </c>
      <c r="F381" s="409" t="s">
        <v>1126</v>
      </c>
      <c r="G381" s="1663" t="s">
        <v>1</v>
      </c>
      <c r="H381" s="2729">
        <v>0</v>
      </c>
      <c r="I381" s="2730"/>
      <c r="J381" s="2731"/>
      <c r="K381" s="2692"/>
      <c r="L381" s="2692"/>
      <c r="M381" s="2692"/>
      <c r="N381" s="2752">
        <v>0</v>
      </c>
      <c r="O381" s="2692"/>
      <c r="P381" s="2692"/>
      <c r="Q381" s="2692"/>
      <c r="R381" s="2692"/>
      <c r="S381" s="2692"/>
      <c r="T381" s="2692"/>
      <c r="U381" s="2729">
        <v>706.66449999999998</v>
      </c>
    </row>
    <row r="382" spans="1:26" ht="30.75" customHeight="1" x14ac:dyDescent="0.25">
      <c r="A382" s="732"/>
      <c r="B382" s="1872" t="s">
        <v>1019</v>
      </c>
      <c r="C382" s="409"/>
      <c r="D382" s="1217" t="s">
        <v>463</v>
      </c>
      <c r="E382" s="1217" t="s">
        <v>495</v>
      </c>
      <c r="F382" s="409" t="s">
        <v>1020</v>
      </c>
      <c r="G382" s="1668"/>
      <c r="H382" s="2729">
        <f>H383</f>
        <v>0</v>
      </c>
      <c r="I382" s="2730"/>
      <c r="J382" s="2731"/>
      <c r="K382" s="2692"/>
      <c r="L382" s="2692"/>
      <c r="M382" s="2692"/>
      <c r="N382" s="2752">
        <f>N383</f>
        <v>974.88388999999995</v>
      </c>
      <c r="O382" s="2692"/>
      <c r="P382" s="2692"/>
      <c r="Q382" s="2692"/>
      <c r="R382" s="2692"/>
      <c r="S382" s="2692"/>
      <c r="T382" s="2692"/>
      <c r="U382" s="2729">
        <f>U383</f>
        <v>0</v>
      </c>
    </row>
    <row r="383" spans="1:26" ht="30.75" customHeight="1" x14ac:dyDescent="0.25">
      <c r="A383" s="732"/>
      <c r="B383" s="753" t="s">
        <v>1021</v>
      </c>
      <c r="C383" s="409"/>
      <c r="D383" s="409" t="s">
        <v>463</v>
      </c>
      <c r="E383" s="409" t="s">
        <v>495</v>
      </c>
      <c r="F383" s="1864" t="s">
        <v>1022</v>
      </c>
      <c r="G383" s="1875"/>
      <c r="H383" s="2729">
        <f>H385</f>
        <v>0</v>
      </c>
      <c r="I383" s="2730"/>
      <c r="J383" s="2731"/>
      <c r="K383" s="2692"/>
      <c r="L383" s="2692"/>
      <c r="M383" s="2692"/>
      <c r="N383" s="2752">
        <f>N385</f>
        <v>974.88388999999995</v>
      </c>
      <c r="O383" s="2692"/>
      <c r="P383" s="2692"/>
      <c r="Q383" s="2692"/>
      <c r="R383" s="2692"/>
      <c r="S383" s="2692"/>
      <c r="T383" s="2692"/>
      <c r="U383" s="2729">
        <f>U385</f>
        <v>0</v>
      </c>
    </row>
    <row r="384" spans="1:26" ht="23.5" customHeight="1" x14ac:dyDescent="0.25">
      <c r="A384" s="732"/>
      <c r="B384" s="753" t="s">
        <v>948</v>
      </c>
      <c r="C384" s="409"/>
      <c r="D384" s="1217" t="s">
        <v>463</v>
      </c>
      <c r="E384" s="1217" t="s">
        <v>495</v>
      </c>
      <c r="F384" s="1864" t="s">
        <v>1022</v>
      </c>
      <c r="G384" s="1876" t="s">
        <v>955</v>
      </c>
      <c r="H384" s="2729">
        <f>H385</f>
        <v>0</v>
      </c>
      <c r="I384" s="2730"/>
      <c r="J384" s="2731"/>
      <c r="K384" s="2692"/>
      <c r="L384" s="2692"/>
      <c r="M384" s="2692"/>
      <c r="N384" s="2752">
        <f>N385</f>
        <v>974.88388999999995</v>
      </c>
      <c r="O384" s="2692"/>
      <c r="P384" s="2692"/>
      <c r="Q384" s="2692"/>
      <c r="R384" s="2692"/>
      <c r="S384" s="2692"/>
      <c r="T384" s="2692"/>
      <c r="U384" s="2729">
        <f>U385</f>
        <v>0</v>
      </c>
    </row>
    <row r="385" spans="1:26" ht="30.75" customHeight="1" x14ac:dyDescent="0.25">
      <c r="A385" s="732"/>
      <c r="B385" s="1182" t="s">
        <v>454</v>
      </c>
      <c r="C385" s="409"/>
      <c r="D385" s="409" t="s">
        <v>463</v>
      </c>
      <c r="E385" s="409" t="s">
        <v>495</v>
      </c>
      <c r="F385" s="1864" t="s">
        <v>1022</v>
      </c>
      <c r="G385" s="1662" t="s">
        <v>1</v>
      </c>
      <c r="H385" s="2729">
        <f>959.368-607.30132-352.06668</f>
        <v>0</v>
      </c>
      <c r="I385" s="2730"/>
      <c r="J385" s="2731"/>
      <c r="K385" s="2692"/>
      <c r="L385" s="2692"/>
      <c r="M385" s="2692"/>
      <c r="N385" s="2752">
        <v>974.88388999999995</v>
      </c>
      <c r="O385" s="2692"/>
      <c r="P385" s="2692"/>
      <c r="Q385" s="2692"/>
      <c r="R385" s="2692"/>
      <c r="S385" s="2692"/>
      <c r="T385" s="2692"/>
      <c r="U385" s="2729">
        <v>0</v>
      </c>
    </row>
    <row r="386" spans="1:26" ht="30.75" customHeight="1" x14ac:dyDescent="0.25">
      <c r="A386" s="732"/>
      <c r="B386" s="1872" t="s">
        <v>1067</v>
      </c>
      <c r="C386" s="1193"/>
      <c r="D386" s="1531" t="s">
        <v>463</v>
      </c>
      <c r="E386" s="1531" t="s">
        <v>495</v>
      </c>
      <c r="F386" s="409" t="s">
        <v>1014</v>
      </c>
      <c r="G386" s="1663"/>
      <c r="H386" s="2729">
        <f>H387</f>
        <v>450.44500000000005</v>
      </c>
      <c r="I386" s="2730"/>
      <c r="J386" s="2731"/>
      <c r="K386" s="2692"/>
      <c r="L386" s="2692"/>
      <c r="M386" s="2692"/>
      <c r="N386" s="2752">
        <f>N387</f>
        <v>426.73700000000002</v>
      </c>
      <c r="O386" s="2692"/>
      <c r="P386" s="2692"/>
      <c r="Q386" s="2692"/>
      <c r="R386" s="2692"/>
      <c r="S386" s="2692"/>
      <c r="T386" s="2692"/>
      <c r="U386" s="2729">
        <f>U387</f>
        <v>150</v>
      </c>
    </row>
    <row r="387" spans="1:26" ht="30.75" customHeight="1" x14ac:dyDescent="0.25">
      <c r="A387" s="732"/>
      <c r="B387" s="1870" t="s">
        <v>1023</v>
      </c>
      <c r="C387" s="1193"/>
      <c r="D387" s="1531" t="s">
        <v>463</v>
      </c>
      <c r="E387" s="1531" t="s">
        <v>495</v>
      </c>
      <c r="F387" s="409" t="s">
        <v>1016</v>
      </c>
      <c r="G387" s="1663"/>
      <c r="H387" s="2729">
        <f>H388</f>
        <v>450.44500000000005</v>
      </c>
      <c r="I387" s="2730"/>
      <c r="J387" s="2731"/>
      <c r="K387" s="2692"/>
      <c r="L387" s="2692"/>
      <c r="M387" s="2692"/>
      <c r="N387" s="2752">
        <f>N388</f>
        <v>426.73700000000002</v>
      </c>
      <c r="O387" s="2692"/>
      <c r="P387" s="2692"/>
      <c r="Q387" s="2692"/>
      <c r="R387" s="2692"/>
      <c r="S387" s="2692"/>
      <c r="T387" s="2692"/>
      <c r="U387" s="2729">
        <f>U388</f>
        <v>150</v>
      </c>
    </row>
    <row r="388" spans="1:26" ht="30.75" customHeight="1" x14ac:dyDescent="0.25">
      <c r="A388" s="732"/>
      <c r="B388" s="1871" t="s">
        <v>1024</v>
      </c>
      <c r="C388" s="1193"/>
      <c r="D388" s="1877" t="s">
        <v>463</v>
      </c>
      <c r="E388" s="1877" t="s">
        <v>495</v>
      </c>
      <c r="F388" s="409" t="s">
        <v>1018</v>
      </c>
      <c r="G388" s="1663"/>
      <c r="H388" s="2729">
        <f>H390</f>
        <v>450.44500000000005</v>
      </c>
      <c r="I388" s="2730"/>
      <c r="J388" s="2731"/>
      <c r="K388" s="2692"/>
      <c r="L388" s="2692"/>
      <c r="M388" s="2692"/>
      <c r="N388" s="2752">
        <f>N390</f>
        <v>426.73700000000002</v>
      </c>
      <c r="O388" s="2692"/>
      <c r="P388" s="2692"/>
      <c r="Q388" s="2692"/>
      <c r="R388" s="2692"/>
      <c r="S388" s="2692"/>
      <c r="T388" s="2692"/>
      <c r="U388" s="2729">
        <f>U390</f>
        <v>150</v>
      </c>
    </row>
    <row r="389" spans="1:26" ht="22" customHeight="1" x14ac:dyDescent="0.25">
      <c r="A389" s="732"/>
      <c r="B389" s="753" t="s">
        <v>948</v>
      </c>
      <c r="C389" s="1193"/>
      <c r="D389" s="1531" t="s">
        <v>463</v>
      </c>
      <c r="E389" s="1531" t="s">
        <v>495</v>
      </c>
      <c r="F389" s="409" t="s">
        <v>1018</v>
      </c>
      <c r="G389" s="1663" t="s">
        <v>955</v>
      </c>
      <c r="H389" s="2729">
        <f t="shared" ref="H389:U389" si="75">H390</f>
        <v>450.44500000000005</v>
      </c>
      <c r="I389" s="2730">
        <f t="shared" si="75"/>
        <v>0</v>
      </c>
      <c r="J389" s="2731">
        <f t="shared" si="75"/>
        <v>0</v>
      </c>
      <c r="K389" s="2692">
        <f t="shared" si="75"/>
        <v>0</v>
      </c>
      <c r="L389" s="2692">
        <f t="shared" si="75"/>
        <v>0</v>
      </c>
      <c r="M389" s="2692">
        <f t="shared" si="75"/>
        <v>0</v>
      </c>
      <c r="N389" s="2752">
        <f t="shared" si="75"/>
        <v>426.73700000000002</v>
      </c>
      <c r="O389" s="2692">
        <f t="shared" si="75"/>
        <v>0</v>
      </c>
      <c r="P389" s="2692">
        <f t="shared" si="75"/>
        <v>0</v>
      </c>
      <c r="Q389" s="2692">
        <f t="shared" si="75"/>
        <v>0</v>
      </c>
      <c r="R389" s="2692">
        <f t="shared" si="75"/>
        <v>0</v>
      </c>
      <c r="S389" s="2692">
        <f t="shared" si="75"/>
        <v>0</v>
      </c>
      <c r="T389" s="2692">
        <f t="shared" si="75"/>
        <v>0</v>
      </c>
      <c r="U389" s="2729">
        <f t="shared" si="75"/>
        <v>150</v>
      </c>
    </row>
    <row r="390" spans="1:26" ht="30.75" customHeight="1" x14ac:dyDescent="0.25">
      <c r="A390" s="732"/>
      <c r="B390" s="1182" t="s">
        <v>454</v>
      </c>
      <c r="C390" s="1193"/>
      <c r="D390" s="1531" t="s">
        <v>463</v>
      </c>
      <c r="E390" s="1531" t="s">
        <v>495</v>
      </c>
      <c r="F390" s="409" t="s">
        <v>1018</v>
      </c>
      <c r="G390" s="1663" t="s">
        <v>1</v>
      </c>
      <c r="H390" s="2729">
        <f>426.737+23.708</f>
        <v>450.44500000000005</v>
      </c>
      <c r="I390" s="2730"/>
      <c r="J390" s="2731"/>
      <c r="K390" s="2692"/>
      <c r="L390" s="2692"/>
      <c r="M390" s="2692"/>
      <c r="N390" s="2752">
        <v>426.73700000000002</v>
      </c>
      <c r="O390" s="2692"/>
      <c r="P390" s="2692"/>
      <c r="Q390" s="2692"/>
      <c r="R390" s="2692"/>
      <c r="S390" s="2692"/>
      <c r="T390" s="2692"/>
      <c r="U390" s="2729">
        <v>150</v>
      </c>
      <c r="Z390" s="1">
        <v>405.4</v>
      </c>
    </row>
    <row r="391" spans="1:26" ht="21" x14ac:dyDescent="0.25">
      <c r="A391" s="732"/>
      <c r="B391" s="1205" t="s">
        <v>1239</v>
      </c>
      <c r="C391" s="1226"/>
      <c r="D391" s="1531" t="s">
        <v>463</v>
      </c>
      <c r="E391" s="1531" t="s">
        <v>495</v>
      </c>
      <c r="F391" s="409" t="s">
        <v>1162</v>
      </c>
      <c r="G391" s="1665"/>
      <c r="H391" s="2729">
        <f>H393+H404+H399</f>
        <v>2960.0099999999998</v>
      </c>
      <c r="I391" s="2730"/>
      <c r="J391" s="2731"/>
      <c r="K391" s="2692"/>
      <c r="L391" s="2692"/>
      <c r="M391" s="2692"/>
      <c r="N391" s="2752">
        <f>N393+N404+N399</f>
        <v>17000</v>
      </c>
      <c r="O391" s="2692"/>
      <c r="P391" s="2692"/>
      <c r="Q391" s="2692"/>
      <c r="R391" s="2692"/>
      <c r="S391" s="2692"/>
      <c r="T391" s="2692"/>
      <c r="U391" s="2729">
        <f>U393+U404+U399</f>
        <v>0</v>
      </c>
    </row>
    <row r="392" spans="1:26" ht="28.5" customHeight="1" x14ac:dyDescent="0.25">
      <c r="A392" s="732"/>
      <c r="B392" s="1247" t="s">
        <v>1238</v>
      </c>
      <c r="C392" s="1226"/>
      <c r="D392" s="1531" t="s">
        <v>463</v>
      </c>
      <c r="E392" s="1531" t="s">
        <v>495</v>
      </c>
      <c r="F392" s="409" t="s">
        <v>1163</v>
      </c>
      <c r="G392" s="1665"/>
      <c r="H392" s="2729">
        <f>H393+H399</f>
        <v>2960.0099999999998</v>
      </c>
      <c r="I392" s="2730"/>
      <c r="J392" s="2731"/>
      <c r="K392" s="2692"/>
      <c r="L392" s="2692"/>
      <c r="M392" s="2692"/>
      <c r="N392" s="2752">
        <f>N393+N399</f>
        <v>0</v>
      </c>
      <c r="O392" s="2692"/>
      <c r="P392" s="2692"/>
      <c r="Q392" s="2692"/>
      <c r="R392" s="2692"/>
      <c r="S392" s="2692"/>
      <c r="T392" s="2692"/>
      <c r="U392" s="2729">
        <f>U393+U399</f>
        <v>0</v>
      </c>
    </row>
    <row r="393" spans="1:26" ht="21" x14ac:dyDescent="0.25">
      <c r="A393" s="732"/>
      <c r="B393" s="1247" t="s">
        <v>1240</v>
      </c>
      <c r="C393" s="1226"/>
      <c r="D393" s="1531" t="s">
        <v>463</v>
      </c>
      <c r="E393" s="1531" t="s">
        <v>495</v>
      </c>
      <c r="F393" s="409" t="s">
        <v>1164</v>
      </c>
      <c r="G393" s="1665"/>
      <c r="H393" s="2729">
        <f>H394</f>
        <v>2615.0727999999999</v>
      </c>
      <c r="I393" s="2730"/>
      <c r="J393" s="2731"/>
      <c r="K393" s="2692"/>
      <c r="L393" s="2692"/>
      <c r="M393" s="2692"/>
      <c r="N393" s="2752">
        <f t="shared" ref="N393:U393" si="76">N394</f>
        <v>0</v>
      </c>
      <c r="O393" s="2692">
        <f t="shared" si="76"/>
        <v>0</v>
      </c>
      <c r="P393" s="2692">
        <f t="shared" si="76"/>
        <v>0</v>
      </c>
      <c r="Q393" s="2692">
        <f t="shared" si="76"/>
        <v>0</v>
      </c>
      <c r="R393" s="2692">
        <f t="shared" si="76"/>
        <v>0</v>
      </c>
      <c r="S393" s="2692">
        <f t="shared" si="76"/>
        <v>0</v>
      </c>
      <c r="T393" s="2692">
        <f t="shared" si="76"/>
        <v>0</v>
      </c>
      <c r="U393" s="2729">
        <f t="shared" si="76"/>
        <v>0</v>
      </c>
    </row>
    <row r="394" spans="1:26" x14ac:dyDescent="0.25">
      <c r="A394" s="732"/>
      <c r="B394" s="1247" t="s">
        <v>1168</v>
      </c>
      <c r="C394" s="1226"/>
      <c r="D394" s="1531" t="s">
        <v>463</v>
      </c>
      <c r="E394" s="1531" t="s">
        <v>495</v>
      </c>
      <c r="F394" s="409" t="s">
        <v>1165</v>
      </c>
      <c r="G394" s="1665"/>
      <c r="H394" s="2729">
        <f>H396</f>
        <v>2615.0727999999999</v>
      </c>
      <c r="I394" s="2730"/>
      <c r="J394" s="2731"/>
      <c r="K394" s="2692"/>
      <c r="L394" s="2692"/>
      <c r="M394" s="2692"/>
      <c r="N394" s="2752">
        <f>N396</f>
        <v>0</v>
      </c>
      <c r="O394" s="2692"/>
      <c r="P394" s="2692"/>
      <c r="Q394" s="2692"/>
      <c r="R394" s="2692"/>
      <c r="S394" s="2692"/>
      <c r="T394" s="2692"/>
      <c r="U394" s="2729">
        <f>U396</f>
        <v>0</v>
      </c>
    </row>
    <row r="395" spans="1:26" ht="20.149999999999999" customHeight="1" x14ac:dyDescent="0.25">
      <c r="A395" s="732"/>
      <c r="B395" s="753" t="s">
        <v>948</v>
      </c>
      <c r="C395" s="1226"/>
      <c r="D395" s="1531" t="s">
        <v>463</v>
      </c>
      <c r="E395" s="1531" t="s">
        <v>495</v>
      </c>
      <c r="F395" s="409" t="s">
        <v>1165</v>
      </c>
      <c r="G395" s="1662" t="s">
        <v>955</v>
      </c>
      <c r="H395" s="2729">
        <f t="shared" ref="H395:U395" si="77">H396</f>
        <v>2615.0727999999999</v>
      </c>
      <c r="I395" s="2730">
        <f t="shared" si="77"/>
        <v>0</v>
      </c>
      <c r="J395" s="2731">
        <f t="shared" si="77"/>
        <v>0</v>
      </c>
      <c r="K395" s="2692">
        <f t="shared" si="77"/>
        <v>0</v>
      </c>
      <c r="L395" s="2692">
        <f t="shared" si="77"/>
        <v>0</v>
      </c>
      <c r="M395" s="2692">
        <f t="shared" si="77"/>
        <v>0</v>
      </c>
      <c r="N395" s="2752">
        <f t="shared" si="77"/>
        <v>0</v>
      </c>
      <c r="O395" s="2692">
        <f t="shared" si="77"/>
        <v>0</v>
      </c>
      <c r="P395" s="2692">
        <f t="shared" si="77"/>
        <v>0</v>
      </c>
      <c r="Q395" s="2692">
        <f t="shared" si="77"/>
        <v>0</v>
      </c>
      <c r="R395" s="2692">
        <f t="shared" si="77"/>
        <v>0</v>
      </c>
      <c r="S395" s="2692">
        <f t="shared" si="77"/>
        <v>0</v>
      </c>
      <c r="T395" s="2692">
        <f t="shared" si="77"/>
        <v>0</v>
      </c>
      <c r="U395" s="2729">
        <f t="shared" si="77"/>
        <v>0</v>
      </c>
    </row>
    <row r="396" spans="1:26" ht="30.75" customHeight="1" x14ac:dyDescent="0.25">
      <c r="A396" s="732"/>
      <c r="B396" s="1182" t="s">
        <v>454</v>
      </c>
      <c r="C396" s="1226"/>
      <c r="D396" s="1531" t="s">
        <v>463</v>
      </c>
      <c r="E396" s="1531" t="s">
        <v>495</v>
      </c>
      <c r="F396" s="409" t="s">
        <v>1165</v>
      </c>
      <c r="G396" s="1662" t="s">
        <v>1</v>
      </c>
      <c r="H396" s="2742">
        <f>2615.073-0.0002+344.9372-344.9372</f>
        <v>2615.0727999999999</v>
      </c>
      <c r="I396" s="2730"/>
      <c r="J396" s="2731"/>
      <c r="K396" s="2692"/>
      <c r="L396" s="2692"/>
      <c r="M396" s="2692"/>
      <c r="N396" s="2752">
        <v>0</v>
      </c>
      <c r="O396" s="2692"/>
      <c r="P396" s="2692"/>
      <c r="Q396" s="2692"/>
      <c r="R396" s="2692"/>
      <c r="S396" s="2692"/>
      <c r="T396" s="2692"/>
      <c r="U396" s="2729">
        <v>0</v>
      </c>
    </row>
    <row r="397" spans="1:26" ht="23.15" customHeight="1" x14ac:dyDescent="0.25">
      <c r="A397" s="732"/>
      <c r="B397" s="1242" t="s">
        <v>1168</v>
      </c>
      <c r="C397" s="2898"/>
      <c r="D397" s="1531" t="s">
        <v>463</v>
      </c>
      <c r="E397" s="1531" t="s">
        <v>495</v>
      </c>
      <c r="F397" s="409" t="s">
        <v>1242</v>
      </c>
      <c r="G397" s="1662"/>
      <c r="H397" s="2742">
        <f>H398</f>
        <v>344.93720000000002</v>
      </c>
      <c r="I397" s="2730"/>
      <c r="J397" s="2731"/>
      <c r="K397" s="2692"/>
      <c r="L397" s="2692"/>
      <c r="M397" s="2692"/>
      <c r="N397" s="2742">
        <f>N398</f>
        <v>0</v>
      </c>
      <c r="O397" s="2692"/>
      <c r="P397" s="2692"/>
      <c r="Q397" s="2692"/>
      <c r="R397" s="2692"/>
      <c r="S397" s="2692"/>
      <c r="T397" s="2692"/>
      <c r="U397" s="2742">
        <f>U398</f>
        <v>0</v>
      </c>
    </row>
    <row r="398" spans="1:26" ht="30.75" customHeight="1" x14ac:dyDescent="0.25">
      <c r="A398" s="732"/>
      <c r="B398" s="753" t="s">
        <v>948</v>
      </c>
      <c r="C398" s="2898"/>
      <c r="D398" s="1531" t="s">
        <v>463</v>
      </c>
      <c r="E398" s="1531" t="s">
        <v>495</v>
      </c>
      <c r="F398" s="409" t="s">
        <v>1242</v>
      </c>
      <c r="G398" s="1662" t="s">
        <v>955</v>
      </c>
      <c r="H398" s="2742">
        <f>H399</f>
        <v>344.93720000000002</v>
      </c>
      <c r="I398" s="2730"/>
      <c r="J398" s="2731"/>
      <c r="K398" s="2692"/>
      <c r="L398" s="2692"/>
      <c r="M398" s="2692"/>
      <c r="N398" s="2742">
        <f>N399</f>
        <v>0</v>
      </c>
      <c r="O398" s="2692"/>
      <c r="P398" s="2692"/>
      <c r="Q398" s="2692"/>
      <c r="R398" s="2692"/>
      <c r="S398" s="2692"/>
      <c r="T398" s="2692"/>
      <c r="U398" s="2742">
        <f>U399</f>
        <v>0</v>
      </c>
    </row>
    <row r="399" spans="1:26" ht="30.75" customHeight="1" x14ac:dyDescent="0.25">
      <c r="A399" s="732"/>
      <c r="B399" s="1182" t="s">
        <v>454</v>
      </c>
      <c r="C399" s="2898"/>
      <c r="D399" s="1531" t="s">
        <v>463</v>
      </c>
      <c r="E399" s="1531" t="s">
        <v>495</v>
      </c>
      <c r="F399" s="409" t="s">
        <v>1242</v>
      </c>
      <c r="G399" s="1662" t="s">
        <v>1</v>
      </c>
      <c r="H399" s="2742">
        <v>344.93720000000002</v>
      </c>
      <c r="I399" s="2730"/>
      <c r="J399" s="2731"/>
      <c r="K399" s="2692"/>
      <c r="L399" s="2692"/>
      <c r="M399" s="2692"/>
      <c r="N399" s="2752">
        <v>0</v>
      </c>
      <c r="O399" s="2692"/>
      <c r="P399" s="2692"/>
      <c r="Q399" s="2692"/>
      <c r="R399" s="2692"/>
      <c r="S399" s="2692"/>
      <c r="T399" s="2692"/>
      <c r="U399" s="2729">
        <v>0</v>
      </c>
    </row>
    <row r="400" spans="1:26" ht="30.75" customHeight="1" x14ac:dyDescent="0.25">
      <c r="A400" s="732"/>
      <c r="B400" s="1247" t="s">
        <v>1187</v>
      </c>
      <c r="C400" s="2898"/>
      <c r="D400" s="1531" t="s">
        <v>463</v>
      </c>
      <c r="E400" s="1531" t="s">
        <v>495</v>
      </c>
      <c r="F400" s="409" t="s">
        <v>1170</v>
      </c>
      <c r="G400" s="1662"/>
      <c r="H400" s="2742">
        <f>H401</f>
        <v>0</v>
      </c>
      <c r="I400" s="2730"/>
      <c r="J400" s="2731"/>
      <c r="K400" s="2692"/>
      <c r="L400" s="2692"/>
      <c r="M400" s="2692"/>
      <c r="N400" s="2752">
        <f>N401</f>
        <v>17000</v>
      </c>
      <c r="O400" s="2692"/>
      <c r="P400" s="2692"/>
      <c r="Q400" s="2692"/>
      <c r="R400" s="2692"/>
      <c r="S400" s="2692"/>
      <c r="T400" s="2692"/>
      <c r="U400" s="2729">
        <f>U401</f>
        <v>0</v>
      </c>
    </row>
    <row r="401" spans="1:21" ht="30.75" customHeight="1" x14ac:dyDescent="0.25">
      <c r="A401" s="732"/>
      <c r="B401" s="1247" t="s">
        <v>1188</v>
      </c>
      <c r="C401" s="2898"/>
      <c r="D401" s="1531" t="s">
        <v>463</v>
      </c>
      <c r="E401" s="1531" t="s">
        <v>495</v>
      </c>
      <c r="F401" s="409" t="s">
        <v>1171</v>
      </c>
      <c r="G401" s="1662"/>
      <c r="H401" s="2742">
        <f>H402</f>
        <v>0</v>
      </c>
      <c r="I401" s="2730"/>
      <c r="J401" s="2731"/>
      <c r="K401" s="2692"/>
      <c r="L401" s="2692"/>
      <c r="M401" s="2692"/>
      <c r="N401" s="2752">
        <f>N402</f>
        <v>17000</v>
      </c>
      <c r="O401" s="2692"/>
      <c r="P401" s="2692"/>
      <c r="Q401" s="2692"/>
      <c r="R401" s="2692"/>
      <c r="S401" s="2692"/>
      <c r="T401" s="2692"/>
      <c r="U401" s="2729">
        <f>U402</f>
        <v>0</v>
      </c>
    </row>
    <row r="402" spans="1:21" ht="23.15" customHeight="1" x14ac:dyDescent="0.25">
      <c r="A402" s="732"/>
      <c r="B402" s="2899" t="s">
        <v>1172</v>
      </c>
      <c r="C402" s="2898"/>
      <c r="D402" s="1531" t="s">
        <v>463</v>
      </c>
      <c r="E402" s="1531" t="s">
        <v>495</v>
      </c>
      <c r="F402" s="409" t="s">
        <v>1241</v>
      </c>
      <c r="G402" s="1662"/>
      <c r="H402" s="2742">
        <f>H403</f>
        <v>0</v>
      </c>
      <c r="I402" s="2730"/>
      <c r="J402" s="2731"/>
      <c r="K402" s="2692"/>
      <c r="L402" s="2692"/>
      <c r="M402" s="2692"/>
      <c r="N402" s="2752">
        <f>N403</f>
        <v>17000</v>
      </c>
      <c r="O402" s="2692"/>
      <c r="P402" s="2692"/>
      <c r="Q402" s="2692"/>
      <c r="R402" s="2692"/>
      <c r="S402" s="2692"/>
      <c r="T402" s="2692"/>
      <c r="U402" s="2729">
        <f>U403</f>
        <v>0</v>
      </c>
    </row>
    <row r="403" spans="1:21" ht="30.75" customHeight="1" x14ac:dyDescent="0.25">
      <c r="A403" s="732"/>
      <c r="B403" s="1242" t="s">
        <v>1061</v>
      </c>
      <c r="C403" s="2898"/>
      <c r="D403" s="1531" t="s">
        <v>463</v>
      </c>
      <c r="E403" s="1531" t="s">
        <v>495</v>
      </c>
      <c r="F403" s="409" t="s">
        <v>1241</v>
      </c>
      <c r="G403" s="1662" t="s">
        <v>1060</v>
      </c>
      <c r="H403" s="2742">
        <f>H404</f>
        <v>0</v>
      </c>
      <c r="I403" s="2730"/>
      <c r="J403" s="2731"/>
      <c r="K403" s="2692"/>
      <c r="L403" s="2692"/>
      <c r="M403" s="2692"/>
      <c r="N403" s="2752">
        <f>N404</f>
        <v>17000</v>
      </c>
      <c r="O403" s="2692"/>
      <c r="P403" s="2692"/>
      <c r="Q403" s="2692"/>
      <c r="R403" s="2692"/>
      <c r="S403" s="2692"/>
      <c r="T403" s="2692"/>
      <c r="U403" s="2729">
        <f>U404</f>
        <v>0</v>
      </c>
    </row>
    <row r="404" spans="1:21" ht="30.75" customHeight="1" x14ac:dyDescent="0.25">
      <c r="A404" s="732"/>
      <c r="B404" s="1182" t="s">
        <v>481</v>
      </c>
      <c r="C404" s="2898"/>
      <c r="D404" s="1531"/>
      <c r="E404" s="1531"/>
      <c r="F404" s="1662"/>
      <c r="G404" s="1662" t="s">
        <v>26</v>
      </c>
      <c r="H404" s="2742">
        <v>0</v>
      </c>
      <c r="I404" s="2730"/>
      <c r="J404" s="2731"/>
      <c r="K404" s="2692"/>
      <c r="L404" s="2692"/>
      <c r="M404" s="2692"/>
      <c r="N404" s="2752">
        <v>17000</v>
      </c>
      <c r="O404" s="2692"/>
      <c r="P404" s="2692"/>
      <c r="Q404" s="2692"/>
      <c r="R404" s="2692"/>
      <c r="S404" s="2692"/>
      <c r="T404" s="2692"/>
      <c r="U404" s="2729">
        <v>0</v>
      </c>
    </row>
    <row r="405" spans="1:21" ht="30.75" customHeight="1" x14ac:dyDescent="0.25">
      <c r="A405" s="732"/>
      <c r="B405" s="1182" t="s">
        <v>499</v>
      </c>
      <c r="C405" s="1880"/>
      <c r="D405" s="1221" t="s">
        <v>463</v>
      </c>
      <c r="E405" s="1221" t="s">
        <v>495</v>
      </c>
      <c r="F405" s="1662" t="s">
        <v>89</v>
      </c>
      <c r="G405" s="1662"/>
      <c r="H405" s="2729">
        <f>H406</f>
        <v>5480</v>
      </c>
      <c r="I405" s="2730"/>
      <c r="J405" s="2731"/>
      <c r="K405" s="2692"/>
      <c r="L405" s="2692"/>
      <c r="M405" s="2692"/>
      <c r="N405" s="2732">
        <f>N406</f>
        <v>68.824109999999678</v>
      </c>
      <c r="O405" s="2692"/>
      <c r="P405" s="2692"/>
      <c r="Q405" s="2692"/>
      <c r="R405" s="2692"/>
      <c r="S405" s="2692"/>
      <c r="T405" s="2692"/>
      <c r="U405" s="2729">
        <f>U406</f>
        <v>9348.1670000000013</v>
      </c>
    </row>
    <row r="406" spans="1:21" ht="30.75" customHeight="1" x14ac:dyDescent="0.25">
      <c r="A406" s="1179"/>
      <c r="B406" s="1882" t="s">
        <v>109</v>
      </c>
      <c r="C406" s="409"/>
      <c r="D406" s="1217" t="s">
        <v>463</v>
      </c>
      <c r="E406" s="1217" t="s">
        <v>495</v>
      </c>
      <c r="F406" s="409" t="s">
        <v>84</v>
      </c>
      <c r="G406" s="1883"/>
      <c r="H406" s="2729">
        <f>H407</f>
        <v>5480</v>
      </c>
      <c r="I406" s="2730"/>
      <c r="J406" s="2731"/>
      <c r="K406" s="2692"/>
      <c r="L406" s="2692"/>
      <c r="M406" s="2692"/>
      <c r="N406" s="2732">
        <f>N407</f>
        <v>68.824109999999678</v>
      </c>
      <c r="O406" s="2692"/>
      <c r="P406" s="2692"/>
      <c r="Q406" s="2692"/>
      <c r="R406" s="2692"/>
      <c r="S406" s="2692"/>
      <c r="T406" s="2692"/>
      <c r="U406" s="2729">
        <f>U407</f>
        <v>9348.1670000000013</v>
      </c>
    </row>
    <row r="407" spans="1:21" ht="30.75" customHeight="1" x14ac:dyDescent="0.25">
      <c r="A407" s="1179"/>
      <c r="B407" s="1884" t="s">
        <v>109</v>
      </c>
      <c r="C407" s="409"/>
      <c r="D407" s="1217" t="s">
        <v>463</v>
      </c>
      <c r="E407" s="1217" t="s">
        <v>495</v>
      </c>
      <c r="F407" s="409" t="s">
        <v>82</v>
      </c>
      <c r="G407" s="1885"/>
      <c r="H407" s="2729">
        <f>H419+H418+H410+H413+H416</f>
        <v>5480</v>
      </c>
      <c r="I407" s="2730"/>
      <c r="J407" s="2731"/>
      <c r="K407" s="2692"/>
      <c r="L407" s="2692"/>
      <c r="M407" s="2692"/>
      <c r="N407" s="2732">
        <f>N414</f>
        <v>68.824109999999678</v>
      </c>
      <c r="O407" s="2692"/>
      <c r="P407" s="2692"/>
      <c r="Q407" s="2692"/>
      <c r="R407" s="2692"/>
      <c r="S407" s="2692"/>
      <c r="T407" s="2692"/>
      <c r="U407" s="2729">
        <f>U414</f>
        <v>9348.1670000000013</v>
      </c>
    </row>
    <row r="408" spans="1:21" ht="30.75" hidden="1" customHeight="1" x14ac:dyDescent="0.25">
      <c r="A408" s="1179"/>
      <c r="B408" s="1884" t="s">
        <v>1174</v>
      </c>
      <c r="C408" s="409"/>
      <c r="D408" s="1217" t="s">
        <v>463</v>
      </c>
      <c r="E408" s="1217" t="s">
        <v>495</v>
      </c>
      <c r="F408" s="409" t="s">
        <v>1173</v>
      </c>
      <c r="G408" s="1885"/>
      <c r="H408" s="1682">
        <f>H409</f>
        <v>0</v>
      </c>
      <c r="I408" s="529"/>
      <c r="J408" s="269"/>
      <c r="K408" s="1858"/>
      <c r="L408" s="1858"/>
      <c r="M408" s="1858"/>
      <c r="N408" s="1200">
        <f t="shared" ref="N408:U408" si="78">N409</f>
        <v>0</v>
      </c>
      <c r="O408" s="1858">
        <f t="shared" si="78"/>
        <v>0</v>
      </c>
      <c r="P408" s="1858">
        <f t="shared" si="78"/>
        <v>0</v>
      </c>
      <c r="Q408" s="1858">
        <f t="shared" si="78"/>
        <v>0</v>
      </c>
      <c r="R408" s="1858">
        <f t="shared" si="78"/>
        <v>0</v>
      </c>
      <c r="S408" s="1858">
        <f t="shared" si="78"/>
        <v>0</v>
      </c>
      <c r="T408" s="1858">
        <f t="shared" si="78"/>
        <v>0</v>
      </c>
      <c r="U408" s="1682">
        <f t="shared" si="78"/>
        <v>0</v>
      </c>
    </row>
    <row r="409" spans="1:21" ht="30.75" hidden="1" customHeight="1" x14ac:dyDescent="0.25">
      <c r="A409" s="1179"/>
      <c r="B409" s="1884" t="s">
        <v>948</v>
      </c>
      <c r="C409" s="409"/>
      <c r="D409" s="1217" t="s">
        <v>463</v>
      </c>
      <c r="E409" s="1217" t="s">
        <v>495</v>
      </c>
      <c r="F409" s="409" t="s">
        <v>1173</v>
      </c>
      <c r="G409" s="1885" t="s">
        <v>955</v>
      </c>
      <c r="H409" s="1682">
        <f>H410</f>
        <v>0</v>
      </c>
      <c r="I409" s="529"/>
      <c r="J409" s="269"/>
      <c r="K409" s="1858"/>
      <c r="L409" s="1858"/>
      <c r="M409" s="1858"/>
      <c r="N409" s="1200">
        <v>0</v>
      </c>
      <c r="O409" s="1858"/>
      <c r="P409" s="1858"/>
      <c r="Q409" s="1858"/>
      <c r="R409" s="1858"/>
      <c r="S409" s="1858"/>
      <c r="T409" s="1858"/>
      <c r="U409" s="1682">
        <v>0</v>
      </c>
    </row>
    <row r="410" spans="1:21" ht="30.75" hidden="1" customHeight="1" x14ac:dyDescent="0.25">
      <c r="A410" s="1179"/>
      <c r="B410" s="1884" t="s">
        <v>454</v>
      </c>
      <c r="C410" s="409"/>
      <c r="D410" s="1217" t="s">
        <v>463</v>
      </c>
      <c r="E410" s="1217" t="s">
        <v>495</v>
      </c>
      <c r="F410" s="409" t="s">
        <v>1173</v>
      </c>
      <c r="G410" s="1885" t="s">
        <v>1</v>
      </c>
      <c r="H410" s="1682">
        <v>0</v>
      </c>
      <c r="I410" s="529"/>
      <c r="J410" s="269"/>
      <c r="K410" s="1858"/>
      <c r="L410" s="1858"/>
      <c r="M410" s="1858"/>
      <c r="N410" s="1200">
        <v>0</v>
      </c>
      <c r="O410" s="1858"/>
      <c r="P410" s="1858"/>
      <c r="Q410" s="1858"/>
      <c r="R410" s="1858"/>
      <c r="S410" s="1858"/>
      <c r="T410" s="1858"/>
      <c r="U410" s="1682">
        <v>0</v>
      </c>
    </row>
    <row r="411" spans="1:21" ht="30.75" hidden="1" customHeight="1" x14ac:dyDescent="0.25">
      <c r="A411" s="1179"/>
      <c r="B411" s="1884" t="s">
        <v>186</v>
      </c>
      <c r="C411" s="409"/>
      <c r="D411" s="1217" t="s">
        <v>463</v>
      </c>
      <c r="E411" s="1217" t="s">
        <v>495</v>
      </c>
      <c r="F411" s="409" t="s">
        <v>36</v>
      </c>
      <c r="G411" s="1885"/>
      <c r="H411" s="1682">
        <f>H412</f>
        <v>0</v>
      </c>
      <c r="I411" s="529"/>
      <c r="J411" s="269"/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200">
        <f>U412</f>
        <v>0</v>
      </c>
    </row>
    <row r="412" spans="1:21" ht="30.75" hidden="1" customHeight="1" x14ac:dyDescent="0.25">
      <c r="A412" s="1179"/>
      <c r="B412" s="2245" t="s">
        <v>948</v>
      </c>
      <c r="C412" s="409"/>
      <c r="D412" s="1217" t="s">
        <v>463</v>
      </c>
      <c r="E412" s="1217" t="s">
        <v>495</v>
      </c>
      <c r="F412" s="409" t="s">
        <v>36</v>
      </c>
      <c r="G412" s="1885" t="s">
        <v>955</v>
      </c>
      <c r="H412" s="1682">
        <f>H413</f>
        <v>0</v>
      </c>
      <c r="I412" s="529"/>
      <c r="J412" s="269"/>
      <c r="K412" s="1858"/>
      <c r="L412" s="1858"/>
      <c r="M412" s="1858"/>
      <c r="N412" s="1200">
        <f>N413</f>
        <v>0</v>
      </c>
      <c r="O412" s="1858"/>
      <c r="P412" s="1858"/>
      <c r="Q412" s="1858"/>
      <c r="R412" s="1858"/>
      <c r="S412" s="1858"/>
      <c r="T412" s="1858"/>
      <c r="U412" s="1200">
        <f>U413</f>
        <v>0</v>
      </c>
    </row>
    <row r="413" spans="1:21" ht="30.75" hidden="1" customHeight="1" x14ac:dyDescent="0.25">
      <c r="A413" s="1179"/>
      <c r="B413" s="2245" t="s">
        <v>454</v>
      </c>
      <c r="C413" s="409"/>
      <c r="D413" s="1217" t="s">
        <v>463</v>
      </c>
      <c r="E413" s="1217" t="s">
        <v>495</v>
      </c>
      <c r="F413" s="409" t="s">
        <v>36</v>
      </c>
      <c r="G413" s="1885" t="s">
        <v>1</v>
      </c>
      <c r="H413" s="1682">
        <v>0</v>
      </c>
      <c r="I413" s="529"/>
      <c r="J413" s="269"/>
      <c r="K413" s="1858"/>
      <c r="L413" s="1858"/>
      <c r="M413" s="1858"/>
      <c r="N413" s="1200">
        <v>0</v>
      </c>
      <c r="O413" s="1858"/>
      <c r="P413" s="1858"/>
      <c r="Q413" s="1858"/>
      <c r="R413" s="1858"/>
      <c r="S413" s="1858"/>
      <c r="T413" s="1858"/>
      <c r="U413" s="1682">
        <v>0</v>
      </c>
    </row>
    <row r="414" spans="1:21" ht="30.75" customHeight="1" x14ac:dyDescent="0.25">
      <c r="A414" s="1179"/>
      <c r="B414" s="1205" t="s">
        <v>184</v>
      </c>
      <c r="C414" s="409"/>
      <c r="D414" s="1217" t="s">
        <v>463</v>
      </c>
      <c r="E414" s="1217" t="s">
        <v>495</v>
      </c>
      <c r="F414" s="409" t="s">
        <v>33</v>
      </c>
      <c r="G414" s="1885"/>
      <c r="H414" s="2729">
        <f>H418+H416</f>
        <v>5480</v>
      </c>
      <c r="I414" s="2730"/>
      <c r="J414" s="2731"/>
      <c r="K414" s="2692"/>
      <c r="L414" s="2692"/>
      <c r="M414" s="2692"/>
      <c r="N414" s="2732">
        <f t="shared" ref="N414:U414" si="79">N418+N416</f>
        <v>68.824109999999678</v>
      </c>
      <c r="O414" s="2692">
        <f t="shared" si="79"/>
        <v>0</v>
      </c>
      <c r="P414" s="2692">
        <f t="shared" si="79"/>
        <v>0</v>
      </c>
      <c r="Q414" s="2692">
        <f t="shared" si="79"/>
        <v>0</v>
      </c>
      <c r="R414" s="2692">
        <f t="shared" si="79"/>
        <v>0</v>
      </c>
      <c r="S414" s="2692">
        <f t="shared" si="79"/>
        <v>0</v>
      </c>
      <c r="T414" s="2692">
        <f t="shared" si="79"/>
        <v>0</v>
      </c>
      <c r="U414" s="2729">
        <f t="shared" si="79"/>
        <v>9348.1670000000013</v>
      </c>
    </row>
    <row r="415" spans="1:21" ht="30.75" customHeight="1" x14ac:dyDescent="0.25">
      <c r="A415" s="1179"/>
      <c r="B415" s="2245" t="s">
        <v>948</v>
      </c>
      <c r="C415" s="409"/>
      <c r="D415" s="1217" t="s">
        <v>463</v>
      </c>
      <c r="E415" s="1217" t="s">
        <v>495</v>
      </c>
      <c r="F415" s="409" t="s">
        <v>33</v>
      </c>
      <c r="G415" s="1885" t="s">
        <v>955</v>
      </c>
      <c r="H415" s="2729">
        <f>H416</f>
        <v>0</v>
      </c>
      <c r="I415" s="2730"/>
      <c r="J415" s="2731"/>
      <c r="K415" s="2692"/>
      <c r="L415" s="2692"/>
      <c r="M415" s="2692"/>
      <c r="N415" s="2732">
        <f t="shared" ref="N415:U415" si="80">N416</f>
        <v>0</v>
      </c>
      <c r="O415" s="2692">
        <f t="shared" si="80"/>
        <v>0</v>
      </c>
      <c r="P415" s="2692">
        <f t="shared" si="80"/>
        <v>0</v>
      </c>
      <c r="Q415" s="2692">
        <f t="shared" si="80"/>
        <v>0</v>
      </c>
      <c r="R415" s="2692">
        <f t="shared" si="80"/>
        <v>0</v>
      </c>
      <c r="S415" s="2692">
        <f t="shared" si="80"/>
        <v>0</v>
      </c>
      <c r="T415" s="2692">
        <f t="shared" si="80"/>
        <v>0</v>
      </c>
      <c r="U415" s="2729">
        <f t="shared" si="80"/>
        <v>3190.8389999999999</v>
      </c>
    </row>
    <row r="416" spans="1:21" ht="30.75" customHeight="1" x14ac:dyDescent="0.25">
      <c r="A416" s="1179"/>
      <c r="B416" s="2245" t="s">
        <v>454</v>
      </c>
      <c r="C416" s="409"/>
      <c r="D416" s="1217" t="s">
        <v>463</v>
      </c>
      <c r="E416" s="1217" t="s">
        <v>495</v>
      </c>
      <c r="F416" s="409" t="s">
        <v>33</v>
      </c>
      <c r="G416" s="1885" t="s">
        <v>1</v>
      </c>
      <c r="H416" s="2729">
        <v>0</v>
      </c>
      <c r="I416" s="2730"/>
      <c r="J416" s="2731"/>
      <c r="K416" s="2692"/>
      <c r="L416" s="2692"/>
      <c r="M416" s="2692"/>
      <c r="N416" s="2732">
        <v>0</v>
      </c>
      <c r="O416" s="2692"/>
      <c r="P416" s="2692"/>
      <c r="Q416" s="2692"/>
      <c r="R416" s="2692"/>
      <c r="S416" s="2692"/>
      <c r="T416" s="2692"/>
      <c r="U416" s="2729">
        <v>3190.8389999999999</v>
      </c>
    </row>
    <row r="417" spans="1:26" ht="19.5" customHeight="1" x14ac:dyDescent="0.25">
      <c r="A417" s="1179"/>
      <c r="B417" s="1884" t="s">
        <v>1068</v>
      </c>
      <c r="C417" s="409"/>
      <c r="D417" s="1217" t="s">
        <v>463</v>
      </c>
      <c r="E417" s="1217" t="s">
        <v>495</v>
      </c>
      <c r="F417" s="409" t="s">
        <v>33</v>
      </c>
      <c r="G417" s="1885" t="s">
        <v>1064</v>
      </c>
      <c r="H417" s="2729">
        <f t="shared" ref="H417:U417" si="81">H418</f>
        <v>5480</v>
      </c>
      <c r="I417" s="2730">
        <f t="shared" si="81"/>
        <v>0</v>
      </c>
      <c r="J417" s="2731">
        <f t="shared" si="81"/>
        <v>0</v>
      </c>
      <c r="K417" s="2692">
        <f t="shared" si="81"/>
        <v>0</v>
      </c>
      <c r="L417" s="2692">
        <f t="shared" si="81"/>
        <v>0</v>
      </c>
      <c r="M417" s="2692">
        <f t="shared" si="81"/>
        <v>0</v>
      </c>
      <c r="N417" s="2732">
        <f t="shared" si="81"/>
        <v>68.824109999999678</v>
      </c>
      <c r="O417" s="2692">
        <f t="shared" si="81"/>
        <v>0</v>
      </c>
      <c r="P417" s="2692">
        <f t="shared" si="81"/>
        <v>0</v>
      </c>
      <c r="Q417" s="2692">
        <f t="shared" si="81"/>
        <v>0</v>
      </c>
      <c r="R417" s="2692">
        <f t="shared" si="81"/>
        <v>0</v>
      </c>
      <c r="S417" s="2692">
        <f t="shared" si="81"/>
        <v>0</v>
      </c>
      <c r="T417" s="2692">
        <f t="shared" si="81"/>
        <v>0</v>
      </c>
      <c r="U417" s="2729">
        <f t="shared" si="81"/>
        <v>6157.3280000000004</v>
      </c>
    </row>
    <row r="418" spans="1:26" ht="30.75" customHeight="1" x14ac:dyDescent="0.25">
      <c r="A418" s="1179"/>
      <c r="B418" s="1182" t="s">
        <v>1034</v>
      </c>
      <c r="C418" s="409"/>
      <c r="D418" s="1217" t="s">
        <v>463</v>
      </c>
      <c r="E418" s="1217" t="s">
        <v>495</v>
      </c>
      <c r="F418" s="409" t="s">
        <v>33</v>
      </c>
      <c r="G418" s="1885" t="s">
        <v>521</v>
      </c>
      <c r="H418" s="2729">
        <f>5480-2056.2414+2056.2414</f>
        <v>5480</v>
      </c>
      <c r="I418" s="2730"/>
      <c r="J418" s="2731"/>
      <c r="K418" s="2692"/>
      <c r="L418" s="2692"/>
      <c r="M418" s="2692"/>
      <c r="N418" s="2732">
        <f>5808.8-1328.89-636.202-2800-974.88389</f>
        <v>68.824109999999678</v>
      </c>
      <c r="O418" s="2692"/>
      <c r="P418" s="2692"/>
      <c r="Q418" s="2692"/>
      <c r="R418" s="2692"/>
      <c r="S418" s="2692"/>
      <c r="T418" s="2692"/>
      <c r="U418" s="2729">
        <v>6157.3280000000004</v>
      </c>
    </row>
    <row r="419" spans="1:26" ht="30.75" hidden="1" customHeight="1" x14ac:dyDescent="0.25">
      <c r="A419" s="1179"/>
      <c r="B419" s="2230" t="s">
        <v>1107</v>
      </c>
      <c r="C419" s="409"/>
      <c r="D419" s="1217" t="s">
        <v>463</v>
      </c>
      <c r="E419" s="1217" t="s">
        <v>495</v>
      </c>
      <c r="F419" s="409" t="s">
        <v>1106</v>
      </c>
      <c r="G419" s="1885"/>
      <c r="H419" s="2729">
        <f>H420</f>
        <v>0</v>
      </c>
      <c r="I419" s="2730"/>
      <c r="J419" s="2731"/>
      <c r="K419" s="2692"/>
      <c r="L419" s="2692"/>
      <c r="M419" s="2692"/>
      <c r="N419" s="2732">
        <f>N420</f>
        <v>0</v>
      </c>
      <c r="O419" s="2692"/>
      <c r="P419" s="2692"/>
      <c r="Q419" s="2692"/>
      <c r="R419" s="2692"/>
      <c r="S419" s="2692"/>
      <c r="T419" s="2692"/>
      <c r="U419" s="2729">
        <f>U420</f>
        <v>0</v>
      </c>
    </row>
    <row r="420" spans="1:26" ht="30.75" hidden="1" customHeight="1" x14ac:dyDescent="0.25">
      <c r="A420" s="1179"/>
      <c r="B420" s="1884" t="s">
        <v>454</v>
      </c>
      <c r="C420" s="409"/>
      <c r="D420" s="1217" t="s">
        <v>463</v>
      </c>
      <c r="E420" s="1217" t="s">
        <v>495</v>
      </c>
      <c r="F420" s="409" t="s">
        <v>1106</v>
      </c>
      <c r="G420" s="1662" t="s">
        <v>1</v>
      </c>
      <c r="H420" s="2729"/>
      <c r="I420" s="2730"/>
      <c r="J420" s="2731"/>
      <c r="K420" s="2692"/>
      <c r="L420" s="2692"/>
      <c r="M420" s="2692"/>
      <c r="N420" s="2732">
        <v>0</v>
      </c>
      <c r="O420" s="2692"/>
      <c r="P420" s="2692"/>
      <c r="Q420" s="2692"/>
      <c r="R420" s="2692"/>
      <c r="S420" s="2692"/>
      <c r="T420" s="2692"/>
      <c r="U420" s="2729">
        <v>0</v>
      </c>
      <c r="Z420" s="1">
        <v>122</v>
      </c>
    </row>
    <row r="421" spans="1:26" x14ac:dyDescent="0.25">
      <c r="A421" s="1179"/>
      <c r="B421" s="1184" t="s">
        <v>348</v>
      </c>
      <c r="C421" s="1177"/>
      <c r="D421" s="408" t="s">
        <v>506</v>
      </c>
      <c r="E421" s="408" t="s">
        <v>459</v>
      </c>
      <c r="F421" s="408"/>
      <c r="G421" s="1661"/>
      <c r="H421" s="2733">
        <f t="shared" ref="H421:J423" si="82">H422</f>
        <v>377</v>
      </c>
      <c r="I421" s="2734">
        <f t="shared" si="82"/>
        <v>0</v>
      </c>
      <c r="J421" s="2735">
        <f t="shared" si="82"/>
        <v>0</v>
      </c>
      <c r="K421" s="2692"/>
      <c r="L421" s="2692"/>
      <c r="M421" s="2692"/>
      <c r="N421" s="2737">
        <f t="shared" ref="N421:N423" si="83">N422</f>
        <v>392</v>
      </c>
      <c r="O421" s="2692"/>
      <c r="P421" s="2692"/>
      <c r="Q421" s="2692"/>
      <c r="R421" s="2692"/>
      <c r="S421" s="2692"/>
      <c r="T421" s="2692"/>
      <c r="U421" s="2733">
        <f t="shared" ref="U421:U423" si="84">U422</f>
        <v>402</v>
      </c>
    </row>
    <row r="422" spans="1:26" x14ac:dyDescent="0.25">
      <c r="A422" s="842"/>
      <c r="B422" s="1184" t="s">
        <v>964</v>
      </c>
      <c r="C422" s="1177"/>
      <c r="D422" s="408" t="s">
        <v>506</v>
      </c>
      <c r="E422" s="408" t="s">
        <v>506</v>
      </c>
      <c r="F422" s="408"/>
      <c r="G422" s="1661"/>
      <c r="H422" s="2733">
        <f t="shared" si="82"/>
        <v>377</v>
      </c>
      <c r="I422" s="2734">
        <f t="shared" si="82"/>
        <v>0</v>
      </c>
      <c r="J422" s="2735">
        <f t="shared" si="82"/>
        <v>0</v>
      </c>
      <c r="K422" s="2692"/>
      <c r="L422" s="2692"/>
      <c r="M422" s="2692"/>
      <c r="N422" s="2737">
        <f t="shared" si="83"/>
        <v>392</v>
      </c>
      <c r="O422" s="2692"/>
      <c r="P422" s="2692"/>
      <c r="Q422" s="2692"/>
      <c r="R422" s="2692"/>
      <c r="S422" s="2692"/>
      <c r="T422" s="2692"/>
      <c r="U422" s="2733">
        <f t="shared" si="84"/>
        <v>402</v>
      </c>
    </row>
    <row r="423" spans="1:26" ht="21" x14ac:dyDescent="0.25">
      <c r="A423" s="1179"/>
      <c r="B423" s="1205" t="s">
        <v>932</v>
      </c>
      <c r="C423" s="1180"/>
      <c r="D423" s="409" t="s">
        <v>506</v>
      </c>
      <c r="E423" s="409" t="s">
        <v>506</v>
      </c>
      <c r="F423" s="409" t="s">
        <v>273</v>
      </c>
      <c r="G423" s="1662"/>
      <c r="H423" s="2729">
        <f t="shared" si="82"/>
        <v>377</v>
      </c>
      <c r="I423" s="2730">
        <f t="shared" si="82"/>
        <v>0</v>
      </c>
      <c r="J423" s="2731">
        <f t="shared" si="82"/>
        <v>0</v>
      </c>
      <c r="K423" s="2692"/>
      <c r="L423" s="2692"/>
      <c r="M423" s="2692"/>
      <c r="N423" s="2732">
        <f t="shared" si="83"/>
        <v>392</v>
      </c>
      <c r="O423" s="2692"/>
      <c r="P423" s="2692"/>
      <c r="Q423" s="2692"/>
      <c r="R423" s="2692"/>
      <c r="S423" s="2692"/>
      <c r="T423" s="2692"/>
      <c r="U423" s="2729">
        <f t="shared" si="84"/>
        <v>402</v>
      </c>
    </row>
    <row r="424" spans="1:26" ht="21" x14ac:dyDescent="0.25">
      <c r="A424" s="1179"/>
      <c r="B424" s="1205" t="s">
        <v>909</v>
      </c>
      <c r="C424" s="1180"/>
      <c r="D424" s="409" t="s">
        <v>506</v>
      </c>
      <c r="E424" s="409" t="s">
        <v>506</v>
      </c>
      <c r="F424" s="409" t="s">
        <v>271</v>
      </c>
      <c r="G424" s="1662"/>
      <c r="H424" s="2729">
        <f>H428+H435</f>
        <v>377</v>
      </c>
      <c r="I424" s="2730">
        <f>I425+I428</f>
        <v>0</v>
      </c>
      <c r="J424" s="2731">
        <f>J425+J428</f>
        <v>0</v>
      </c>
      <c r="K424" s="2702">
        <v>348</v>
      </c>
      <c r="L424" s="2692"/>
      <c r="M424" s="2692"/>
      <c r="N424" s="2732">
        <f t="shared" ref="N424:U424" si="85">N428+N435</f>
        <v>392</v>
      </c>
      <c r="O424" s="2692">
        <f t="shared" si="85"/>
        <v>0</v>
      </c>
      <c r="P424" s="2692">
        <f t="shared" si="85"/>
        <v>0</v>
      </c>
      <c r="Q424" s="2692">
        <f t="shared" si="85"/>
        <v>0</v>
      </c>
      <c r="R424" s="2692">
        <f t="shared" si="85"/>
        <v>0</v>
      </c>
      <c r="S424" s="2692">
        <f t="shared" si="85"/>
        <v>0</v>
      </c>
      <c r="T424" s="2692">
        <f t="shared" si="85"/>
        <v>0</v>
      </c>
      <c r="U424" s="2729">
        <f t="shared" si="85"/>
        <v>402</v>
      </c>
    </row>
    <row r="425" spans="1:26" ht="31.5" hidden="1" x14ac:dyDescent="0.25">
      <c r="A425" s="1179"/>
      <c r="B425" s="1205" t="s">
        <v>270</v>
      </c>
      <c r="C425" s="1180"/>
      <c r="D425" s="409" t="s">
        <v>506</v>
      </c>
      <c r="E425" s="409" t="s">
        <v>506</v>
      </c>
      <c r="F425" s="409" t="s">
        <v>267</v>
      </c>
      <c r="G425" s="1662"/>
      <c r="H425" s="2729">
        <f t="shared" ref="H425:J426" si="86">H426</f>
        <v>0</v>
      </c>
      <c r="I425" s="2730">
        <f t="shared" si="86"/>
        <v>0</v>
      </c>
      <c r="J425" s="2731">
        <f t="shared" si="86"/>
        <v>0</v>
      </c>
      <c r="K425" s="2692"/>
      <c r="L425" s="2692"/>
      <c r="M425" s="2692"/>
      <c r="N425" s="2732">
        <f t="shared" ref="N425:N426" si="87">N426</f>
        <v>0</v>
      </c>
      <c r="O425" s="2692"/>
      <c r="P425" s="2692"/>
      <c r="Q425" s="2692"/>
      <c r="R425" s="2692"/>
      <c r="S425" s="2692"/>
      <c r="T425" s="2692"/>
      <c r="U425" s="2729">
        <f t="shared" ref="U425:U426" si="88">U426</f>
        <v>0</v>
      </c>
    </row>
    <row r="426" spans="1:26" hidden="1" x14ac:dyDescent="0.25">
      <c r="A426" s="1233"/>
      <c r="B426" s="1250" t="s">
        <v>4</v>
      </c>
      <c r="C426" s="1180"/>
      <c r="D426" s="409" t="s">
        <v>506</v>
      </c>
      <c r="E426" s="409" t="s">
        <v>506</v>
      </c>
      <c r="F426" s="409" t="s">
        <v>507</v>
      </c>
      <c r="G426" s="1662"/>
      <c r="H426" s="2729">
        <f t="shared" si="86"/>
        <v>0</v>
      </c>
      <c r="I426" s="2730">
        <f t="shared" si="86"/>
        <v>0</v>
      </c>
      <c r="J426" s="2731">
        <f t="shared" si="86"/>
        <v>0</v>
      </c>
      <c r="K426" s="2692"/>
      <c r="L426" s="2692"/>
      <c r="M426" s="2692"/>
      <c r="N426" s="2732">
        <f t="shared" si="87"/>
        <v>0</v>
      </c>
      <c r="O426" s="2692"/>
      <c r="P426" s="2692"/>
      <c r="Q426" s="2692"/>
      <c r="R426" s="2692"/>
      <c r="S426" s="2692"/>
      <c r="T426" s="2692"/>
      <c r="U426" s="2729">
        <f t="shared" si="88"/>
        <v>0</v>
      </c>
    </row>
    <row r="427" spans="1:26" ht="21" hidden="1" x14ac:dyDescent="0.25">
      <c r="A427" s="1233"/>
      <c r="B427" s="1197" t="s">
        <v>268</v>
      </c>
      <c r="C427" s="1183"/>
      <c r="D427" s="409" t="s">
        <v>506</v>
      </c>
      <c r="E427" s="409" t="s">
        <v>506</v>
      </c>
      <c r="F427" s="409" t="s">
        <v>507</v>
      </c>
      <c r="G427" s="1662" t="s">
        <v>1</v>
      </c>
      <c r="H427" s="2729"/>
      <c r="I427" s="2730"/>
      <c r="J427" s="2731"/>
      <c r="K427" s="2692"/>
      <c r="L427" s="2692"/>
      <c r="M427" s="2692"/>
      <c r="N427" s="2732"/>
      <c r="O427" s="2692"/>
      <c r="P427" s="2692"/>
      <c r="Q427" s="2692"/>
      <c r="R427" s="2692"/>
      <c r="S427" s="2692"/>
      <c r="T427" s="2692"/>
      <c r="U427" s="2729"/>
    </row>
    <row r="428" spans="1:26" ht="21" x14ac:dyDescent="0.25">
      <c r="A428" s="1233"/>
      <c r="B428" s="753" t="s">
        <v>268</v>
      </c>
      <c r="C428" s="1183"/>
      <c r="D428" s="409" t="s">
        <v>506</v>
      </c>
      <c r="E428" s="409" t="s">
        <v>506</v>
      </c>
      <c r="F428" s="409" t="s">
        <v>267</v>
      </c>
      <c r="G428" s="1662"/>
      <c r="H428" s="2729">
        <f>H432+H429</f>
        <v>377</v>
      </c>
      <c r="I428" s="2730">
        <f>I432</f>
        <v>0</v>
      </c>
      <c r="J428" s="2731">
        <f>J432</f>
        <v>0</v>
      </c>
      <c r="K428" s="2692"/>
      <c r="L428" s="2692"/>
      <c r="M428" s="2692"/>
      <c r="N428" s="2729">
        <f>N432+N429</f>
        <v>392</v>
      </c>
      <c r="O428" s="2692"/>
      <c r="P428" s="2692"/>
      <c r="Q428" s="2692"/>
      <c r="R428" s="2692"/>
      <c r="S428" s="2692"/>
      <c r="T428" s="2692"/>
      <c r="U428" s="2729">
        <f>U432+U429</f>
        <v>402</v>
      </c>
    </row>
    <row r="429" spans="1:26" x14ac:dyDescent="0.25">
      <c r="A429" s="1233"/>
      <c r="B429" s="762" t="s">
        <v>1037</v>
      </c>
      <c r="C429" s="1183"/>
      <c r="D429" s="409" t="s">
        <v>506</v>
      </c>
      <c r="E429" s="409" t="s">
        <v>506</v>
      </c>
      <c r="F429" s="409" t="s">
        <v>507</v>
      </c>
      <c r="G429" s="1662"/>
      <c r="H429" s="2729">
        <f>H431</f>
        <v>117</v>
      </c>
      <c r="I429" s="2730"/>
      <c r="J429" s="2731"/>
      <c r="K429" s="2692"/>
      <c r="L429" s="2692"/>
      <c r="M429" s="2692"/>
      <c r="N429" s="2732">
        <f>N431</f>
        <v>122</v>
      </c>
      <c r="O429" s="2692"/>
      <c r="P429" s="2692"/>
      <c r="Q429" s="2692"/>
      <c r="R429" s="2692"/>
      <c r="S429" s="2692"/>
      <c r="T429" s="2692"/>
      <c r="U429" s="2729">
        <f>U431</f>
        <v>122</v>
      </c>
    </row>
    <row r="430" spans="1:26" x14ac:dyDescent="0.25">
      <c r="A430" s="1233"/>
      <c r="B430" s="753" t="s">
        <v>948</v>
      </c>
      <c r="C430" s="1183"/>
      <c r="D430" s="409" t="s">
        <v>506</v>
      </c>
      <c r="E430" s="409" t="s">
        <v>506</v>
      </c>
      <c r="F430" s="409" t="s">
        <v>507</v>
      </c>
      <c r="G430" s="1662" t="s">
        <v>955</v>
      </c>
      <c r="H430" s="2729">
        <f>H431</f>
        <v>117</v>
      </c>
      <c r="I430" s="2730"/>
      <c r="J430" s="2731"/>
      <c r="K430" s="2692"/>
      <c r="L430" s="2692"/>
      <c r="M430" s="2692"/>
      <c r="N430" s="2732">
        <f t="shared" ref="N430:U430" si="89">N431</f>
        <v>122</v>
      </c>
      <c r="O430" s="2692">
        <f t="shared" si="89"/>
        <v>0</v>
      </c>
      <c r="P430" s="2692">
        <f t="shared" si="89"/>
        <v>0</v>
      </c>
      <c r="Q430" s="2692">
        <f t="shared" si="89"/>
        <v>0</v>
      </c>
      <c r="R430" s="2692">
        <f t="shared" si="89"/>
        <v>0</v>
      </c>
      <c r="S430" s="2692">
        <f t="shared" si="89"/>
        <v>0</v>
      </c>
      <c r="T430" s="2692">
        <f t="shared" si="89"/>
        <v>0</v>
      </c>
      <c r="U430" s="2729">
        <f t="shared" si="89"/>
        <v>122</v>
      </c>
    </row>
    <row r="431" spans="1:26" ht="21" x14ac:dyDescent="0.25">
      <c r="A431" s="1233"/>
      <c r="B431" s="1191" t="s">
        <v>454</v>
      </c>
      <c r="C431" s="1183"/>
      <c r="D431" s="409" t="s">
        <v>506</v>
      </c>
      <c r="E431" s="409" t="s">
        <v>506</v>
      </c>
      <c r="F431" s="409" t="s">
        <v>507</v>
      </c>
      <c r="G431" s="1662" t="s">
        <v>1</v>
      </c>
      <c r="H431" s="2729">
        <v>117</v>
      </c>
      <c r="I431" s="2730"/>
      <c r="J431" s="2731"/>
      <c r="K431" s="2692"/>
      <c r="L431" s="2692"/>
      <c r="M431" s="2692"/>
      <c r="N431" s="2732">
        <v>122</v>
      </c>
      <c r="O431" s="2692"/>
      <c r="P431" s="2692"/>
      <c r="Q431" s="2692"/>
      <c r="R431" s="2692"/>
      <c r="S431" s="2692"/>
      <c r="T431" s="2692"/>
      <c r="U431" s="2729">
        <v>122</v>
      </c>
    </row>
    <row r="432" spans="1:26" x14ac:dyDescent="0.25">
      <c r="A432" s="1179"/>
      <c r="B432" s="1205" t="s">
        <v>266</v>
      </c>
      <c r="C432" s="1180"/>
      <c r="D432" s="409" t="s">
        <v>506</v>
      </c>
      <c r="E432" s="409" t="s">
        <v>506</v>
      </c>
      <c r="F432" s="409" t="s">
        <v>263</v>
      </c>
      <c r="G432" s="1662"/>
      <c r="H432" s="2729">
        <f t="shared" ref="H432:J432" si="90">H434</f>
        <v>260</v>
      </c>
      <c r="I432" s="2730">
        <f t="shared" si="90"/>
        <v>0</v>
      </c>
      <c r="J432" s="2731">
        <f t="shared" si="90"/>
        <v>0</v>
      </c>
      <c r="K432" s="2692"/>
      <c r="L432" s="2692"/>
      <c r="M432" s="2692"/>
      <c r="N432" s="2732">
        <f t="shared" ref="N432" si="91">N434</f>
        <v>270</v>
      </c>
      <c r="O432" s="2692"/>
      <c r="P432" s="2692"/>
      <c r="Q432" s="2692"/>
      <c r="R432" s="2692"/>
      <c r="S432" s="2692"/>
      <c r="T432" s="2692"/>
      <c r="U432" s="2729">
        <f t="shared" ref="U432" si="92">U434</f>
        <v>280</v>
      </c>
    </row>
    <row r="433" spans="1:21" x14ac:dyDescent="0.25">
      <c r="A433" s="1179"/>
      <c r="B433" s="753" t="s">
        <v>948</v>
      </c>
      <c r="C433" s="1180"/>
      <c r="D433" s="409" t="s">
        <v>506</v>
      </c>
      <c r="E433" s="409" t="s">
        <v>506</v>
      </c>
      <c r="F433" s="409" t="s">
        <v>263</v>
      </c>
      <c r="G433" s="1662" t="s">
        <v>955</v>
      </c>
      <c r="H433" s="2729">
        <f t="shared" ref="H433:U433" si="93">H434</f>
        <v>260</v>
      </c>
      <c r="I433" s="2730">
        <f t="shared" si="93"/>
        <v>0</v>
      </c>
      <c r="J433" s="2731">
        <f t="shared" si="93"/>
        <v>0</v>
      </c>
      <c r="K433" s="2692">
        <f t="shared" si="93"/>
        <v>0</v>
      </c>
      <c r="L433" s="2692">
        <f t="shared" si="93"/>
        <v>0</v>
      </c>
      <c r="M433" s="2692">
        <f t="shared" si="93"/>
        <v>0</v>
      </c>
      <c r="N433" s="2732">
        <f t="shared" si="93"/>
        <v>270</v>
      </c>
      <c r="O433" s="2692">
        <f t="shared" si="93"/>
        <v>0</v>
      </c>
      <c r="P433" s="2692">
        <f t="shared" si="93"/>
        <v>0</v>
      </c>
      <c r="Q433" s="2692">
        <f t="shared" si="93"/>
        <v>0</v>
      </c>
      <c r="R433" s="2692">
        <f t="shared" si="93"/>
        <v>0</v>
      </c>
      <c r="S433" s="2692">
        <f t="shared" si="93"/>
        <v>0</v>
      </c>
      <c r="T433" s="2692">
        <f t="shared" si="93"/>
        <v>0</v>
      </c>
      <c r="U433" s="2729">
        <f t="shared" si="93"/>
        <v>280</v>
      </c>
    </row>
    <row r="434" spans="1:21" ht="21" x14ac:dyDescent="0.25">
      <c r="A434" s="1179"/>
      <c r="B434" s="1191" t="s">
        <v>454</v>
      </c>
      <c r="C434" s="1183"/>
      <c r="D434" s="409" t="s">
        <v>506</v>
      </c>
      <c r="E434" s="409" t="s">
        <v>506</v>
      </c>
      <c r="F434" s="409" t="s">
        <v>263</v>
      </c>
      <c r="G434" s="1662" t="s">
        <v>1</v>
      </c>
      <c r="H434" s="2729">
        <v>260</v>
      </c>
      <c r="I434" s="2730"/>
      <c r="J434" s="2731"/>
      <c r="K434" s="2692"/>
      <c r="L434" s="2692"/>
      <c r="M434" s="2692"/>
      <c r="N434" s="2732">
        <v>270</v>
      </c>
      <c r="O434" s="2692"/>
      <c r="P434" s="2692"/>
      <c r="Q434" s="2692"/>
      <c r="R434" s="2692"/>
      <c r="S434" s="2692"/>
      <c r="T434" s="2692"/>
      <c r="U434" s="2729">
        <v>280</v>
      </c>
    </row>
    <row r="435" spans="1:21" ht="20.149999999999999" hidden="1" customHeight="1" x14ac:dyDescent="0.25">
      <c r="A435" s="1179"/>
      <c r="B435" s="1871" t="s">
        <v>1221</v>
      </c>
      <c r="C435" s="1183"/>
      <c r="D435" s="409" t="s">
        <v>506</v>
      </c>
      <c r="E435" s="409" t="s">
        <v>506</v>
      </c>
      <c r="F435" s="409" t="s">
        <v>1217</v>
      </c>
      <c r="G435" s="1662"/>
      <c r="H435" s="2729">
        <f>H438+H441</f>
        <v>0</v>
      </c>
      <c r="I435" s="2730"/>
      <c r="J435" s="2731"/>
      <c r="K435" s="2692"/>
      <c r="L435" s="2692"/>
      <c r="M435" s="2692"/>
      <c r="N435" s="2732">
        <f>N438+N441</f>
        <v>0</v>
      </c>
      <c r="O435" s="2692"/>
      <c r="P435" s="2692"/>
      <c r="Q435" s="2692"/>
      <c r="R435" s="2692"/>
      <c r="S435" s="2692"/>
      <c r="T435" s="2692"/>
      <c r="U435" s="2729">
        <f>U438+U441</f>
        <v>0</v>
      </c>
    </row>
    <row r="436" spans="1:21" hidden="1" x14ac:dyDescent="0.25">
      <c r="A436" s="1179"/>
      <c r="B436" s="1393" t="s">
        <v>1218</v>
      </c>
      <c r="C436" s="1183"/>
      <c r="D436" s="409" t="s">
        <v>506</v>
      </c>
      <c r="E436" s="409" t="s">
        <v>506</v>
      </c>
      <c r="F436" s="409" t="s">
        <v>1219</v>
      </c>
      <c r="G436" s="1662"/>
      <c r="H436" s="2729">
        <f>H437</f>
        <v>0</v>
      </c>
      <c r="I436" s="2730"/>
      <c r="J436" s="2731"/>
      <c r="K436" s="2692"/>
      <c r="L436" s="2692"/>
      <c r="M436" s="2692"/>
      <c r="N436" s="2732">
        <f>N437</f>
        <v>0</v>
      </c>
      <c r="O436" s="2692"/>
      <c r="P436" s="2692"/>
      <c r="Q436" s="2692"/>
      <c r="R436" s="2692"/>
      <c r="S436" s="2692"/>
      <c r="T436" s="2692"/>
      <c r="U436" s="2729">
        <f>U437</f>
        <v>0</v>
      </c>
    </row>
    <row r="437" spans="1:21" hidden="1" x14ac:dyDescent="0.25">
      <c r="A437" s="1179"/>
      <c r="B437" s="753" t="s">
        <v>948</v>
      </c>
      <c r="C437" s="1183"/>
      <c r="D437" s="409" t="s">
        <v>506</v>
      </c>
      <c r="E437" s="409" t="s">
        <v>506</v>
      </c>
      <c r="F437" s="409" t="s">
        <v>1219</v>
      </c>
      <c r="G437" s="1662" t="s">
        <v>955</v>
      </c>
      <c r="H437" s="2729">
        <f>H438</f>
        <v>0</v>
      </c>
      <c r="I437" s="2730"/>
      <c r="J437" s="2731"/>
      <c r="K437" s="2692"/>
      <c r="L437" s="2692"/>
      <c r="M437" s="2692"/>
      <c r="N437" s="2732">
        <f>N438</f>
        <v>0</v>
      </c>
      <c r="O437" s="2692"/>
      <c r="P437" s="2692"/>
      <c r="Q437" s="2692"/>
      <c r="R437" s="2692"/>
      <c r="S437" s="2692"/>
      <c r="T437" s="2692"/>
      <c r="U437" s="2729">
        <f>U438</f>
        <v>0</v>
      </c>
    </row>
    <row r="438" spans="1:21" ht="21" hidden="1" x14ac:dyDescent="0.25">
      <c r="A438" s="1179"/>
      <c r="B438" s="1191" t="s">
        <v>454</v>
      </c>
      <c r="C438" s="1183"/>
      <c r="D438" s="409" t="s">
        <v>506</v>
      </c>
      <c r="E438" s="409" t="s">
        <v>506</v>
      </c>
      <c r="F438" s="409" t="s">
        <v>1219</v>
      </c>
      <c r="G438" s="1662" t="s">
        <v>1</v>
      </c>
      <c r="H438" s="2890">
        <f>500+12.62222-392.62222-120</f>
        <v>0</v>
      </c>
      <c r="I438" s="2730"/>
      <c r="J438" s="2731"/>
      <c r="K438" s="2692"/>
      <c r="L438" s="2692"/>
      <c r="M438" s="2692"/>
      <c r="N438" s="2732">
        <v>0</v>
      </c>
      <c r="O438" s="2692"/>
      <c r="P438" s="2692"/>
      <c r="Q438" s="2692"/>
      <c r="R438" s="2692"/>
      <c r="S438" s="2692"/>
      <c r="T438" s="2692"/>
      <c r="U438" s="2729">
        <v>0</v>
      </c>
    </row>
    <row r="439" spans="1:21" hidden="1" x14ac:dyDescent="0.25">
      <c r="A439" s="1179"/>
      <c r="B439" s="1393" t="s">
        <v>1222</v>
      </c>
      <c r="C439" s="1183"/>
      <c r="D439" s="409" t="s">
        <v>506</v>
      </c>
      <c r="E439" s="409" t="s">
        <v>506</v>
      </c>
      <c r="F439" s="409" t="s">
        <v>1220</v>
      </c>
      <c r="G439" s="1662"/>
      <c r="H439" s="2729">
        <f>H440</f>
        <v>0</v>
      </c>
      <c r="I439" s="2730"/>
      <c r="J439" s="2731"/>
      <c r="K439" s="2692"/>
      <c r="L439" s="2692"/>
      <c r="M439" s="2692"/>
      <c r="N439" s="2732">
        <f>N440</f>
        <v>0</v>
      </c>
      <c r="O439" s="2692"/>
      <c r="P439" s="2692"/>
      <c r="Q439" s="2692"/>
      <c r="R439" s="2692"/>
      <c r="S439" s="2692"/>
      <c r="T439" s="2692"/>
      <c r="U439" s="2729">
        <f>U440</f>
        <v>0</v>
      </c>
    </row>
    <row r="440" spans="1:21" hidden="1" x14ac:dyDescent="0.25">
      <c r="A440" s="1179"/>
      <c r="B440" s="753" t="s">
        <v>948</v>
      </c>
      <c r="C440" s="1183"/>
      <c r="D440" s="409" t="s">
        <v>506</v>
      </c>
      <c r="E440" s="409" t="s">
        <v>506</v>
      </c>
      <c r="F440" s="409" t="s">
        <v>1220</v>
      </c>
      <c r="G440" s="1662" t="s">
        <v>955</v>
      </c>
      <c r="H440" s="2729">
        <f>H441</f>
        <v>0</v>
      </c>
      <c r="I440" s="2730"/>
      <c r="J440" s="2731"/>
      <c r="K440" s="2692"/>
      <c r="L440" s="2692"/>
      <c r="M440" s="2692"/>
      <c r="N440" s="2732">
        <f>N441</f>
        <v>0</v>
      </c>
      <c r="O440" s="2692"/>
      <c r="P440" s="2692"/>
      <c r="Q440" s="2692"/>
      <c r="R440" s="2692"/>
      <c r="S440" s="2692"/>
      <c r="T440" s="2692"/>
      <c r="U440" s="2729">
        <f>U441</f>
        <v>0</v>
      </c>
    </row>
    <row r="441" spans="1:21" ht="21" hidden="1" x14ac:dyDescent="0.25">
      <c r="A441" s="1179"/>
      <c r="B441" s="1191" t="s">
        <v>454</v>
      </c>
      <c r="C441" s="1183"/>
      <c r="D441" s="409" t="s">
        <v>506</v>
      </c>
      <c r="E441" s="409" t="s">
        <v>506</v>
      </c>
      <c r="F441" s="409" t="s">
        <v>1220</v>
      </c>
      <c r="G441" s="1662" t="s">
        <v>1</v>
      </c>
      <c r="H441" s="2729">
        <f>893.9-12.62222+962.62222-1843.9</f>
        <v>0</v>
      </c>
      <c r="I441" s="2730"/>
      <c r="J441" s="2731"/>
      <c r="K441" s="2692"/>
      <c r="L441" s="2692"/>
      <c r="M441" s="2692"/>
      <c r="N441" s="2732">
        <v>0</v>
      </c>
      <c r="O441" s="2692"/>
      <c r="P441" s="2692"/>
      <c r="Q441" s="2692"/>
      <c r="R441" s="2692"/>
      <c r="S441" s="2692"/>
      <c r="T441" s="2692"/>
      <c r="U441" s="2729">
        <v>0</v>
      </c>
    </row>
    <row r="442" spans="1:21" s="760" customFormat="1" ht="13" x14ac:dyDescent="0.3">
      <c r="A442" s="842"/>
      <c r="B442" s="1251" t="s">
        <v>460</v>
      </c>
      <c r="C442" s="408"/>
      <c r="D442" s="1221" t="s">
        <v>453</v>
      </c>
      <c r="E442" s="1221" t="s">
        <v>459</v>
      </c>
      <c r="F442" s="408"/>
      <c r="G442" s="1661"/>
      <c r="H442" s="2733">
        <f>H443+H462</f>
        <v>19645.18778</v>
      </c>
      <c r="I442" s="2734"/>
      <c r="J442" s="2735"/>
      <c r="K442" s="2736"/>
      <c r="L442" s="2736"/>
      <c r="M442" s="2736"/>
      <c r="N442" s="2737">
        <f>N443+N462</f>
        <v>14798.487999999999</v>
      </c>
      <c r="O442" s="2736"/>
      <c r="P442" s="2736"/>
      <c r="Q442" s="2736"/>
      <c r="R442" s="2736"/>
      <c r="S442" s="2736"/>
      <c r="T442" s="2736"/>
      <c r="U442" s="2733">
        <f>U443+U462</f>
        <v>23769.095000000001</v>
      </c>
    </row>
    <row r="443" spans="1:21" x14ac:dyDescent="0.25">
      <c r="A443" s="1179"/>
      <c r="B443" s="1173" t="s">
        <v>87</v>
      </c>
      <c r="C443" s="1177"/>
      <c r="D443" s="408" t="s">
        <v>453</v>
      </c>
      <c r="E443" s="408" t="s">
        <v>456</v>
      </c>
      <c r="F443" s="408"/>
      <c r="G443" s="1661"/>
      <c r="H443" s="2733">
        <f>H444+H454</f>
        <v>16901.626779999999</v>
      </c>
      <c r="I443" s="2734">
        <f>I444+I455</f>
        <v>0</v>
      </c>
      <c r="J443" s="2735">
        <f>J444+J455</f>
        <v>0</v>
      </c>
      <c r="K443" s="2692"/>
      <c r="L443" s="2692"/>
      <c r="M443" s="2692"/>
      <c r="N443" s="2737">
        <f>N444+N454</f>
        <v>13242.807999999999</v>
      </c>
      <c r="O443" s="2692"/>
      <c r="P443" s="2692"/>
      <c r="Q443" s="2692"/>
      <c r="R443" s="2692"/>
      <c r="S443" s="2692"/>
      <c r="T443" s="2692"/>
      <c r="U443" s="2733">
        <f>U444+U454</f>
        <v>16990.495999999999</v>
      </c>
    </row>
    <row r="444" spans="1:21" ht="24.75" customHeight="1" x14ac:dyDescent="0.25">
      <c r="A444" s="1179"/>
      <c r="B444" s="753" t="s">
        <v>932</v>
      </c>
      <c r="C444" s="1177"/>
      <c r="D444" s="409" t="s">
        <v>453</v>
      </c>
      <c r="E444" s="409" t="s">
        <v>456</v>
      </c>
      <c r="F444" s="409" t="s">
        <v>273</v>
      </c>
      <c r="G444" s="1661"/>
      <c r="H444" s="2733">
        <f>H445</f>
        <v>16901.626779999999</v>
      </c>
      <c r="I444" s="2734">
        <f t="shared" ref="I444:J446" si="94">I445</f>
        <v>0</v>
      </c>
      <c r="J444" s="2735">
        <f t="shared" si="94"/>
        <v>0</v>
      </c>
      <c r="K444" s="2702">
        <f>K449+K451+K453+K458+K468+K461</f>
        <v>976.8</v>
      </c>
      <c r="L444" s="2692"/>
      <c r="M444" s="2692"/>
      <c r="N444" s="2737">
        <f>N445</f>
        <v>13242.807999999999</v>
      </c>
      <c r="O444" s="2692"/>
      <c r="P444" s="2692"/>
      <c r="Q444" s="2692"/>
      <c r="R444" s="2692"/>
      <c r="S444" s="2692"/>
      <c r="T444" s="2692"/>
      <c r="U444" s="2733">
        <f>U445</f>
        <v>16990.495999999999</v>
      </c>
    </row>
    <row r="445" spans="1:21" ht="27.75" customHeight="1" x14ac:dyDescent="0.25">
      <c r="A445" s="1179"/>
      <c r="B445" s="1205" t="s">
        <v>911</v>
      </c>
      <c r="C445" s="1180"/>
      <c r="D445" s="409" t="s">
        <v>453</v>
      </c>
      <c r="E445" s="409" t="s">
        <v>456</v>
      </c>
      <c r="F445" s="409" t="s">
        <v>260</v>
      </c>
      <c r="G445" s="1662"/>
      <c r="H445" s="2729">
        <f>H446</f>
        <v>16901.626779999999</v>
      </c>
      <c r="I445" s="2730">
        <f t="shared" si="94"/>
        <v>0</v>
      </c>
      <c r="J445" s="2731">
        <f t="shared" si="94"/>
        <v>0</v>
      </c>
      <c r="K445" s="2692"/>
      <c r="L445" s="2692"/>
      <c r="M445" s="2692"/>
      <c r="N445" s="2732">
        <f>N446</f>
        <v>13242.807999999999</v>
      </c>
      <c r="O445" s="2692"/>
      <c r="P445" s="2692"/>
      <c r="Q445" s="2692"/>
      <c r="R445" s="2692"/>
      <c r="S445" s="2692"/>
      <c r="T445" s="2692"/>
      <c r="U445" s="2729">
        <f>U446</f>
        <v>16990.495999999999</v>
      </c>
    </row>
    <row r="446" spans="1:21" x14ac:dyDescent="0.25">
      <c r="A446" s="842"/>
      <c r="B446" s="1205" t="s">
        <v>259</v>
      </c>
      <c r="C446" s="1180"/>
      <c r="D446" s="409" t="s">
        <v>453</v>
      </c>
      <c r="E446" s="409" t="s">
        <v>456</v>
      </c>
      <c r="F446" s="409" t="s">
        <v>258</v>
      </c>
      <c r="G446" s="1662"/>
      <c r="H446" s="2762">
        <f>H449+H451+H453+H461</f>
        <v>16901.626779999999</v>
      </c>
      <c r="I446" s="2763">
        <f t="shared" si="94"/>
        <v>0</v>
      </c>
      <c r="J446" s="2764">
        <f t="shared" si="94"/>
        <v>0</v>
      </c>
      <c r="K446" s="2765"/>
      <c r="L446" s="2765"/>
      <c r="M446" s="2765"/>
      <c r="N446" s="2766">
        <f>N449+N451+N453+N461</f>
        <v>13242.807999999999</v>
      </c>
      <c r="O446" s="2765"/>
      <c r="P446" s="2765"/>
      <c r="Q446" s="2765"/>
      <c r="R446" s="2765"/>
      <c r="S446" s="2765"/>
      <c r="T446" s="2765"/>
      <c r="U446" s="2762">
        <f>U449+U451+U453+U461</f>
        <v>16990.495999999999</v>
      </c>
    </row>
    <row r="447" spans="1:21" x14ac:dyDescent="0.25">
      <c r="A447" s="842"/>
      <c r="B447" s="1197" t="s">
        <v>351</v>
      </c>
      <c r="C447" s="1180"/>
      <c r="D447" s="409" t="s">
        <v>453</v>
      </c>
      <c r="E447" s="409" t="s">
        <v>456</v>
      </c>
      <c r="F447" s="409" t="s">
        <v>254</v>
      </c>
      <c r="G447" s="1662"/>
      <c r="H447" s="2762">
        <f>H449+H451+H453</f>
        <v>13406.42678</v>
      </c>
      <c r="I447" s="2763">
        <f>I449</f>
        <v>0</v>
      </c>
      <c r="J447" s="2764">
        <f>J449</f>
        <v>0</v>
      </c>
      <c r="K447" s="2765"/>
      <c r="L447" s="2765"/>
      <c r="M447" s="2765"/>
      <c r="N447" s="2766">
        <f>N449+N451+N453</f>
        <v>9607.7999999999993</v>
      </c>
      <c r="O447" s="2765"/>
      <c r="P447" s="2765"/>
      <c r="Q447" s="2765"/>
      <c r="R447" s="2765"/>
      <c r="S447" s="2765"/>
      <c r="T447" s="2765"/>
      <c r="U447" s="2762">
        <f>U449+U451+U453</f>
        <v>13210.088</v>
      </c>
    </row>
    <row r="448" spans="1:21" ht="39" x14ac:dyDescent="0.25">
      <c r="A448" s="842"/>
      <c r="B448" s="49" t="s">
        <v>1063</v>
      </c>
      <c r="C448" s="1180"/>
      <c r="D448" s="409" t="s">
        <v>453</v>
      </c>
      <c r="E448" s="409" t="s">
        <v>456</v>
      </c>
      <c r="F448" s="409" t="s">
        <v>254</v>
      </c>
      <c r="G448" s="1662" t="s">
        <v>1062</v>
      </c>
      <c r="H448" s="2762">
        <f t="shared" ref="H448:U448" si="95">H449</f>
        <v>7903.6489999999994</v>
      </c>
      <c r="I448" s="2763">
        <f t="shared" si="95"/>
        <v>0</v>
      </c>
      <c r="J448" s="2764">
        <f t="shared" si="95"/>
        <v>0</v>
      </c>
      <c r="K448" s="2765">
        <f t="shared" si="95"/>
        <v>0</v>
      </c>
      <c r="L448" s="2765">
        <f t="shared" si="95"/>
        <v>0</v>
      </c>
      <c r="M448" s="2765">
        <f t="shared" si="95"/>
        <v>0</v>
      </c>
      <c r="N448" s="2766">
        <f t="shared" si="95"/>
        <v>7709.01</v>
      </c>
      <c r="O448" s="2765">
        <f t="shared" si="95"/>
        <v>0</v>
      </c>
      <c r="P448" s="2765">
        <f t="shared" si="95"/>
        <v>0</v>
      </c>
      <c r="Q448" s="2765">
        <f t="shared" si="95"/>
        <v>0</v>
      </c>
      <c r="R448" s="2765">
        <f t="shared" si="95"/>
        <v>0</v>
      </c>
      <c r="S448" s="2765">
        <f t="shared" si="95"/>
        <v>0</v>
      </c>
      <c r="T448" s="2765">
        <f t="shared" si="95"/>
        <v>0</v>
      </c>
      <c r="U448" s="2762">
        <f t="shared" si="95"/>
        <v>8017.3710000000001</v>
      </c>
    </row>
    <row r="449" spans="1:27" x14ac:dyDescent="0.25">
      <c r="A449" s="842"/>
      <c r="B449" s="753" t="s">
        <v>840</v>
      </c>
      <c r="C449" s="1180"/>
      <c r="D449" s="409" t="s">
        <v>453</v>
      </c>
      <c r="E449" s="409" t="s">
        <v>456</v>
      </c>
      <c r="F449" s="409" t="s">
        <v>254</v>
      </c>
      <c r="G449" s="1662" t="s">
        <v>255</v>
      </c>
      <c r="H449" s="2729">
        <f>7413.11+490.539</f>
        <v>7903.6489999999994</v>
      </c>
      <c r="I449" s="2730"/>
      <c r="J449" s="2731"/>
      <c r="K449" s="2692"/>
      <c r="L449" s="2692"/>
      <c r="M449" s="2692"/>
      <c r="N449" s="2732">
        <v>7709.01</v>
      </c>
      <c r="O449" s="2692"/>
      <c r="P449" s="2692"/>
      <c r="Q449" s="2692"/>
      <c r="R449" s="2692"/>
      <c r="S449" s="2692"/>
      <c r="T449" s="2692"/>
      <c r="U449" s="2729">
        <v>8017.3710000000001</v>
      </c>
    </row>
    <row r="450" spans="1:27" x14ac:dyDescent="0.25">
      <c r="A450" s="842"/>
      <c r="B450" s="753" t="s">
        <v>948</v>
      </c>
      <c r="C450" s="1180"/>
      <c r="D450" s="409" t="s">
        <v>453</v>
      </c>
      <c r="E450" s="409" t="s">
        <v>456</v>
      </c>
      <c r="F450" s="409" t="s">
        <v>254</v>
      </c>
      <c r="G450" s="1662" t="s">
        <v>955</v>
      </c>
      <c r="H450" s="2729">
        <f t="shared" ref="H450:U450" si="96">H451</f>
        <v>5501.7777800000003</v>
      </c>
      <c r="I450" s="2730">
        <f t="shared" si="96"/>
        <v>0</v>
      </c>
      <c r="J450" s="2731">
        <f t="shared" si="96"/>
        <v>0</v>
      </c>
      <c r="K450" s="2692">
        <f t="shared" si="96"/>
        <v>0</v>
      </c>
      <c r="L450" s="2692">
        <f t="shared" si="96"/>
        <v>0</v>
      </c>
      <c r="M450" s="2692">
        <f t="shared" si="96"/>
        <v>0</v>
      </c>
      <c r="N450" s="2732">
        <f t="shared" si="96"/>
        <v>1897.79</v>
      </c>
      <c r="O450" s="2692">
        <f t="shared" si="96"/>
        <v>0</v>
      </c>
      <c r="P450" s="2692">
        <f t="shared" si="96"/>
        <v>0</v>
      </c>
      <c r="Q450" s="2692">
        <f t="shared" si="96"/>
        <v>0</v>
      </c>
      <c r="R450" s="2692">
        <f t="shared" si="96"/>
        <v>0</v>
      </c>
      <c r="S450" s="2692">
        <f t="shared" si="96"/>
        <v>0</v>
      </c>
      <c r="T450" s="2692">
        <f t="shared" si="96"/>
        <v>0</v>
      </c>
      <c r="U450" s="2729">
        <f t="shared" si="96"/>
        <v>5191.7169999999996</v>
      </c>
    </row>
    <row r="451" spans="1:27" ht="21" x14ac:dyDescent="0.25">
      <c r="A451" s="1179"/>
      <c r="B451" s="1182" t="s">
        <v>454</v>
      </c>
      <c r="C451" s="1183"/>
      <c r="D451" s="409" t="s">
        <v>453</v>
      </c>
      <c r="E451" s="409" t="s">
        <v>456</v>
      </c>
      <c r="F451" s="409" t="s">
        <v>254</v>
      </c>
      <c r="G451" s="1662" t="s">
        <v>1</v>
      </c>
      <c r="H451" s="2729">
        <f>4620.5-962.62222+1843.9</f>
        <v>5501.7777800000003</v>
      </c>
      <c r="I451" s="2730"/>
      <c r="J451" s="2731"/>
      <c r="K451" s="2714"/>
      <c r="L451" s="2692"/>
      <c r="M451" s="2692"/>
      <c r="N451" s="2732">
        <f>4897.79-3000</f>
        <v>1897.79</v>
      </c>
      <c r="O451" s="2692"/>
      <c r="P451" s="2692"/>
      <c r="Q451" s="2692"/>
      <c r="R451" s="2692"/>
      <c r="S451" s="2692"/>
      <c r="T451" s="2692"/>
      <c r="U451" s="2729">
        <v>5191.7169999999996</v>
      </c>
      <c r="Z451" s="1">
        <f>-278.4*2</f>
        <v>-556.79999999999995</v>
      </c>
      <c r="AA451" s="1">
        <v>1333.1</v>
      </c>
    </row>
    <row r="452" spans="1:27" x14ac:dyDescent="0.25">
      <c r="A452" s="1179"/>
      <c r="B452" s="1182" t="s">
        <v>1068</v>
      </c>
      <c r="C452" s="1183"/>
      <c r="D452" s="409" t="s">
        <v>453</v>
      </c>
      <c r="E452" s="409" t="s">
        <v>456</v>
      </c>
      <c r="F452" s="409" t="s">
        <v>254</v>
      </c>
      <c r="G452" s="1662" t="s">
        <v>1064</v>
      </c>
      <c r="H452" s="2729">
        <f t="shared" ref="H452:U452" si="97">H453</f>
        <v>1</v>
      </c>
      <c r="I452" s="2730">
        <f t="shared" si="97"/>
        <v>0</v>
      </c>
      <c r="J452" s="2731">
        <f t="shared" si="97"/>
        <v>0</v>
      </c>
      <c r="K452" s="2714">
        <f t="shared" si="97"/>
        <v>0</v>
      </c>
      <c r="L452" s="2692">
        <f t="shared" si="97"/>
        <v>0</v>
      </c>
      <c r="M452" s="2692">
        <f t="shared" si="97"/>
        <v>0</v>
      </c>
      <c r="N452" s="2732">
        <f t="shared" si="97"/>
        <v>1</v>
      </c>
      <c r="O452" s="2692">
        <f t="shared" si="97"/>
        <v>0</v>
      </c>
      <c r="P452" s="2692">
        <f t="shared" si="97"/>
        <v>0</v>
      </c>
      <c r="Q452" s="2692">
        <f t="shared" si="97"/>
        <v>0</v>
      </c>
      <c r="R452" s="2692">
        <f t="shared" si="97"/>
        <v>0</v>
      </c>
      <c r="S452" s="2692">
        <f t="shared" si="97"/>
        <v>0</v>
      </c>
      <c r="T452" s="2692">
        <f t="shared" si="97"/>
        <v>0</v>
      </c>
      <c r="U452" s="2729">
        <f t="shared" si="97"/>
        <v>1</v>
      </c>
    </row>
    <row r="453" spans="1:27" x14ac:dyDescent="0.25">
      <c r="A453" s="1179"/>
      <c r="B453" s="1182" t="s">
        <v>457</v>
      </c>
      <c r="C453" s="1183"/>
      <c r="D453" s="409" t="s">
        <v>453</v>
      </c>
      <c r="E453" s="409" t="s">
        <v>456</v>
      </c>
      <c r="F453" s="409" t="s">
        <v>254</v>
      </c>
      <c r="G453" s="1662" t="s">
        <v>91</v>
      </c>
      <c r="H453" s="2729">
        <v>1</v>
      </c>
      <c r="I453" s="2730"/>
      <c r="J453" s="2731"/>
      <c r="K453" s="2692"/>
      <c r="L453" s="2692"/>
      <c r="M453" s="2692"/>
      <c r="N453" s="2732">
        <v>1</v>
      </c>
      <c r="O453" s="2692"/>
      <c r="P453" s="2692"/>
      <c r="Q453" s="2692"/>
      <c r="R453" s="2692"/>
      <c r="S453" s="2692"/>
      <c r="T453" s="2692"/>
      <c r="U453" s="2729">
        <v>1</v>
      </c>
    </row>
    <row r="454" spans="1:27" s="760" customFormat="1" ht="21" hidden="1" x14ac:dyDescent="0.3">
      <c r="A454" s="842"/>
      <c r="B454" s="1242" t="s">
        <v>499</v>
      </c>
      <c r="C454" s="1207"/>
      <c r="D454" s="408" t="s">
        <v>453</v>
      </c>
      <c r="E454" s="408" t="s">
        <v>456</v>
      </c>
      <c r="F454" s="408" t="s">
        <v>273</v>
      </c>
      <c r="G454" s="1661"/>
      <c r="H454" s="2733">
        <f>H455</f>
        <v>0</v>
      </c>
      <c r="I454" s="2734"/>
      <c r="J454" s="2735"/>
      <c r="K454" s="2692"/>
      <c r="L454" s="2736"/>
      <c r="M454" s="2736"/>
      <c r="N454" s="2737">
        <f>N455</f>
        <v>0</v>
      </c>
      <c r="O454" s="2736"/>
      <c r="P454" s="2736"/>
      <c r="Q454" s="2736"/>
      <c r="R454" s="2736"/>
      <c r="S454" s="2736"/>
      <c r="T454" s="2736"/>
      <c r="U454" s="2733">
        <f>U455</f>
        <v>0</v>
      </c>
    </row>
    <row r="455" spans="1:27" hidden="1" x14ac:dyDescent="0.25">
      <c r="A455" s="1179"/>
      <c r="B455" s="753" t="s">
        <v>109</v>
      </c>
      <c r="C455" s="1180"/>
      <c r="D455" s="409" t="s">
        <v>453</v>
      </c>
      <c r="E455" s="409" t="s">
        <v>456</v>
      </c>
      <c r="F455" s="409" t="s">
        <v>260</v>
      </c>
      <c r="G455" s="1662"/>
      <c r="H455" s="2729">
        <f>H456</f>
        <v>0</v>
      </c>
      <c r="I455" s="2730">
        <f>I456</f>
        <v>0</v>
      </c>
      <c r="J455" s="2731">
        <f>J456</f>
        <v>0</v>
      </c>
      <c r="K455" s="2692"/>
      <c r="L455" s="2692"/>
      <c r="M455" s="2692"/>
      <c r="N455" s="2732">
        <f>N456</f>
        <v>0</v>
      </c>
      <c r="O455" s="2692"/>
      <c r="P455" s="2692"/>
      <c r="Q455" s="2692"/>
      <c r="R455" s="2692"/>
      <c r="S455" s="2692"/>
      <c r="T455" s="2692"/>
      <c r="U455" s="2729">
        <f>U456</f>
        <v>0</v>
      </c>
    </row>
    <row r="456" spans="1:27" hidden="1" x14ac:dyDescent="0.25">
      <c r="A456" s="1179"/>
      <c r="B456" s="1205" t="s">
        <v>109</v>
      </c>
      <c r="C456" s="1180"/>
      <c r="D456" s="409" t="s">
        <v>453</v>
      </c>
      <c r="E456" s="409" t="s">
        <v>456</v>
      </c>
      <c r="F456" s="409" t="s">
        <v>258</v>
      </c>
      <c r="G456" s="1662"/>
      <c r="H456" s="2729"/>
      <c r="I456" s="2730"/>
      <c r="J456" s="2731"/>
      <c r="K456" s="2692"/>
      <c r="L456" s="2692"/>
      <c r="M456" s="2692"/>
      <c r="N456" s="2732"/>
      <c r="O456" s="2692"/>
      <c r="P456" s="2692"/>
      <c r="Q456" s="2692"/>
      <c r="R456" s="2692"/>
      <c r="S456" s="2692"/>
      <c r="T456" s="2692"/>
      <c r="U456" s="2729"/>
    </row>
    <row r="457" spans="1:27" hidden="1" x14ac:dyDescent="0.25">
      <c r="A457" s="1179"/>
      <c r="B457" s="1205" t="s">
        <v>830</v>
      </c>
      <c r="C457" s="1180"/>
      <c r="D457" s="409" t="s">
        <v>453</v>
      </c>
      <c r="E457" s="409" t="s">
        <v>456</v>
      </c>
      <c r="F457" s="409" t="s">
        <v>831</v>
      </c>
      <c r="G457" s="1662"/>
      <c r="H457" s="2729">
        <f>H458</f>
        <v>0</v>
      </c>
      <c r="I457" s="2730">
        <f>I458+I464</f>
        <v>0</v>
      </c>
      <c r="J457" s="2731">
        <f>J458+J464</f>
        <v>0</v>
      </c>
      <c r="K457" s="2692"/>
      <c r="L457" s="2692"/>
      <c r="M457" s="2692"/>
      <c r="N457" s="2732">
        <f>N458</f>
        <v>0</v>
      </c>
      <c r="O457" s="2692"/>
      <c r="P457" s="2692"/>
      <c r="Q457" s="2692"/>
      <c r="R457" s="2692"/>
      <c r="S457" s="2692"/>
      <c r="T457" s="2692"/>
      <c r="U457" s="2729">
        <f>U458</f>
        <v>0</v>
      </c>
    </row>
    <row r="458" spans="1:27" hidden="1" x14ac:dyDescent="0.25">
      <c r="A458" s="1179"/>
      <c r="B458" s="1197" t="s">
        <v>841</v>
      </c>
      <c r="C458" s="1180"/>
      <c r="D458" s="409" t="s">
        <v>453</v>
      </c>
      <c r="E458" s="409" t="s">
        <v>456</v>
      </c>
      <c r="F458" s="409" t="s">
        <v>831</v>
      </c>
      <c r="G458" s="1662" t="s">
        <v>255</v>
      </c>
      <c r="H458" s="2729"/>
      <c r="I458" s="2730">
        <f>I462</f>
        <v>0</v>
      </c>
      <c r="J458" s="2731">
        <f>J462</f>
        <v>0</v>
      </c>
      <c r="K458" s="2692">
        <v>976.8</v>
      </c>
      <c r="L458" s="2692"/>
      <c r="M458" s="2692"/>
      <c r="N458" s="2732"/>
      <c r="O458" s="2692"/>
      <c r="P458" s="2692"/>
      <c r="Q458" s="2692"/>
      <c r="R458" s="2692"/>
      <c r="S458" s="2692"/>
      <c r="T458" s="2692"/>
      <c r="U458" s="2729"/>
    </row>
    <row r="459" spans="1:27" ht="31.5" x14ac:dyDescent="0.25">
      <c r="A459" s="1179"/>
      <c r="B459" s="1205" t="s">
        <v>1205</v>
      </c>
      <c r="C459" s="1180"/>
      <c r="D459" s="409" t="s">
        <v>453</v>
      </c>
      <c r="E459" s="409" t="s">
        <v>456</v>
      </c>
      <c r="F459" s="409" t="s">
        <v>970</v>
      </c>
      <c r="G459" s="1662"/>
      <c r="H459" s="2729">
        <f>H461</f>
        <v>3495.2</v>
      </c>
      <c r="I459" s="2730"/>
      <c r="J459" s="2731"/>
      <c r="K459" s="2692"/>
      <c r="L459" s="2692"/>
      <c r="M459" s="2692"/>
      <c r="N459" s="2732">
        <f>N461</f>
        <v>3635.0079999999998</v>
      </c>
      <c r="O459" s="2692"/>
      <c r="P459" s="2692"/>
      <c r="Q459" s="2692"/>
      <c r="R459" s="2692"/>
      <c r="S459" s="2692"/>
      <c r="T459" s="2692"/>
      <c r="U459" s="2729">
        <f>U461</f>
        <v>3780.4079999999999</v>
      </c>
      <c r="V459" s="1861">
        <v>2666.2</v>
      </c>
      <c r="W459" s="1861">
        <v>2666.2</v>
      </c>
      <c r="X459" s="1861">
        <v>2666.2</v>
      </c>
      <c r="Y459" s="2248" t="s">
        <v>444</v>
      </c>
    </row>
    <row r="460" spans="1:27" ht="39" x14ac:dyDescent="0.25">
      <c r="A460" s="1179"/>
      <c r="B460" s="49" t="s">
        <v>1063</v>
      </c>
      <c r="C460" s="1180"/>
      <c r="D460" s="409" t="s">
        <v>453</v>
      </c>
      <c r="E460" s="409" t="s">
        <v>456</v>
      </c>
      <c r="F460" s="409" t="s">
        <v>970</v>
      </c>
      <c r="G460" s="1662" t="s">
        <v>1062</v>
      </c>
      <c r="H460" s="2729">
        <f t="shared" ref="H460:U460" si="98">H461</f>
        <v>3495.2</v>
      </c>
      <c r="I460" s="2730">
        <f t="shared" si="98"/>
        <v>0</v>
      </c>
      <c r="J460" s="2731">
        <f t="shared" si="98"/>
        <v>0</v>
      </c>
      <c r="K460" s="2692">
        <f t="shared" si="98"/>
        <v>0</v>
      </c>
      <c r="L460" s="2692">
        <f t="shared" si="98"/>
        <v>0</v>
      </c>
      <c r="M460" s="2692">
        <f t="shared" si="98"/>
        <v>0</v>
      </c>
      <c r="N460" s="2752">
        <f t="shared" si="98"/>
        <v>3635.0079999999998</v>
      </c>
      <c r="O460" s="2692">
        <f t="shared" si="98"/>
        <v>0</v>
      </c>
      <c r="P460" s="2692">
        <f t="shared" si="98"/>
        <v>0</v>
      </c>
      <c r="Q460" s="2692">
        <f t="shared" si="98"/>
        <v>0</v>
      </c>
      <c r="R460" s="2692">
        <f t="shared" si="98"/>
        <v>0</v>
      </c>
      <c r="S460" s="2692">
        <f t="shared" si="98"/>
        <v>0</v>
      </c>
      <c r="T460" s="2692">
        <f t="shared" si="98"/>
        <v>0</v>
      </c>
      <c r="U460" s="2729">
        <f t="shared" si="98"/>
        <v>3780.4079999999999</v>
      </c>
      <c r="V460" s="1861"/>
      <c r="W460" s="1861"/>
      <c r="X460" s="1861"/>
      <c r="Y460" s="2248"/>
    </row>
    <row r="461" spans="1:27" x14ac:dyDescent="0.25">
      <c r="A461" s="1179"/>
      <c r="B461" s="1197" t="s">
        <v>841</v>
      </c>
      <c r="C461" s="1180"/>
      <c r="D461" s="409" t="s">
        <v>453</v>
      </c>
      <c r="E461" s="409" t="s">
        <v>456</v>
      </c>
      <c r="F461" s="409" t="s">
        <v>970</v>
      </c>
      <c r="G461" s="1662" t="s">
        <v>255</v>
      </c>
      <c r="H461" s="2729">
        <v>3495.2</v>
      </c>
      <c r="I461" s="2730"/>
      <c r="J461" s="2731"/>
      <c r="K461" s="2692"/>
      <c r="L461" s="2692"/>
      <c r="M461" s="2692"/>
      <c r="N461" s="2729">
        <v>3635.0079999999998</v>
      </c>
      <c r="O461" s="2692"/>
      <c r="P461" s="2692"/>
      <c r="Q461" s="2692"/>
      <c r="R461" s="2692"/>
      <c r="S461" s="2692"/>
      <c r="T461" s="2692"/>
      <c r="U461" s="2729">
        <v>3780.4079999999999</v>
      </c>
      <c r="V461" s="1861">
        <v>2666.2</v>
      </c>
      <c r="W461" s="1861">
        <v>2666.2</v>
      </c>
      <c r="X461" s="1861">
        <v>2666.2</v>
      </c>
      <c r="Z461" s="1">
        <f>278.4*2</f>
        <v>556.79999999999995</v>
      </c>
      <c r="AA461" s="1">
        <v>-2666.2</v>
      </c>
    </row>
    <row r="462" spans="1:27" s="760" customFormat="1" ht="13" x14ac:dyDescent="0.3">
      <c r="A462" s="842"/>
      <c r="B462" s="1252" t="s">
        <v>244</v>
      </c>
      <c r="C462" s="1177"/>
      <c r="D462" s="408" t="s">
        <v>453</v>
      </c>
      <c r="E462" s="408" t="s">
        <v>452</v>
      </c>
      <c r="F462" s="408"/>
      <c r="G462" s="1661"/>
      <c r="H462" s="2733">
        <f>H463</f>
        <v>2743.5610000000006</v>
      </c>
      <c r="I462" s="2734">
        <f>I463</f>
        <v>0</v>
      </c>
      <c r="J462" s="2735">
        <f>J463</f>
        <v>0</v>
      </c>
      <c r="K462" s="2736"/>
      <c r="L462" s="2736"/>
      <c r="M462" s="2736"/>
      <c r="N462" s="2737">
        <f>N463</f>
        <v>1555.6800000000003</v>
      </c>
      <c r="O462" s="2736"/>
      <c r="P462" s="2736"/>
      <c r="Q462" s="2736"/>
      <c r="R462" s="2736"/>
      <c r="S462" s="2736"/>
      <c r="T462" s="2736"/>
      <c r="U462" s="2733">
        <f>U463</f>
        <v>6778.5990000000002</v>
      </c>
    </row>
    <row r="463" spans="1:27" ht="21" x14ac:dyDescent="0.25">
      <c r="A463" s="1179"/>
      <c r="B463" s="1242" t="s">
        <v>933</v>
      </c>
      <c r="C463" s="1183"/>
      <c r="D463" s="409" t="s">
        <v>453</v>
      </c>
      <c r="E463" s="409" t="s">
        <v>452</v>
      </c>
      <c r="F463" s="409" t="s">
        <v>273</v>
      </c>
      <c r="G463" s="1662"/>
      <c r="H463" s="2729">
        <f>H464</f>
        <v>2743.5610000000006</v>
      </c>
      <c r="I463" s="2730"/>
      <c r="J463" s="2731"/>
      <c r="K463" s="2692"/>
      <c r="L463" s="2692"/>
      <c r="M463" s="2692"/>
      <c r="N463" s="2732">
        <f>N464</f>
        <v>1555.6800000000003</v>
      </c>
      <c r="O463" s="2692"/>
      <c r="P463" s="2692"/>
      <c r="Q463" s="2692"/>
      <c r="R463" s="2692"/>
      <c r="S463" s="2692"/>
      <c r="T463" s="2692"/>
      <c r="U463" s="2729">
        <f>U464</f>
        <v>6778.5990000000002</v>
      </c>
    </row>
    <row r="464" spans="1:27" x14ac:dyDescent="0.25">
      <c r="A464" s="1179"/>
      <c r="B464" s="753" t="s">
        <v>836</v>
      </c>
      <c r="C464" s="1183"/>
      <c r="D464" s="409" t="s">
        <v>453</v>
      </c>
      <c r="E464" s="409" t="s">
        <v>452</v>
      </c>
      <c r="F464" s="409" t="s">
        <v>251</v>
      </c>
      <c r="G464" s="1662"/>
      <c r="H464" s="2729">
        <f>H465</f>
        <v>2743.5610000000006</v>
      </c>
      <c r="I464" s="2730">
        <f>I465+I468</f>
        <v>0</v>
      </c>
      <c r="J464" s="2731">
        <f>J465+J468</f>
        <v>0</v>
      </c>
      <c r="K464" s="2692"/>
      <c r="L464" s="2692"/>
      <c r="M464" s="2692"/>
      <c r="N464" s="2732">
        <f>N465</f>
        <v>1555.6800000000003</v>
      </c>
      <c r="O464" s="2692"/>
      <c r="P464" s="2692"/>
      <c r="Q464" s="2692"/>
      <c r="R464" s="2692"/>
      <c r="S464" s="2692"/>
      <c r="T464" s="2692"/>
      <c r="U464" s="2729">
        <f>U465</f>
        <v>6778.5990000000002</v>
      </c>
    </row>
    <row r="465" spans="1:21" x14ac:dyDescent="0.25">
      <c r="A465" s="1179"/>
      <c r="B465" s="753" t="s">
        <v>250</v>
      </c>
      <c r="C465" s="1180"/>
      <c r="D465" s="409" t="s">
        <v>453</v>
      </c>
      <c r="E465" s="409" t="s">
        <v>452</v>
      </c>
      <c r="F465" s="409" t="s">
        <v>249</v>
      </c>
      <c r="G465" s="1662"/>
      <c r="H465" s="2729">
        <f>H466</f>
        <v>2743.5610000000006</v>
      </c>
      <c r="I465" s="2730">
        <f>I466</f>
        <v>0</v>
      </c>
      <c r="J465" s="2731">
        <f>J466</f>
        <v>0</v>
      </c>
      <c r="K465" s="2692"/>
      <c r="L465" s="2692"/>
      <c r="M465" s="2692"/>
      <c r="N465" s="2732">
        <f>N466</f>
        <v>1555.6800000000003</v>
      </c>
      <c r="O465" s="2692"/>
      <c r="P465" s="2692"/>
      <c r="Q465" s="2692"/>
      <c r="R465" s="2692"/>
      <c r="S465" s="2692"/>
      <c r="T465" s="2692"/>
      <c r="U465" s="2729">
        <f>U466</f>
        <v>6778.5990000000002</v>
      </c>
    </row>
    <row r="466" spans="1:21" x14ac:dyDescent="0.25">
      <c r="A466" s="1179"/>
      <c r="B466" s="1242" t="s">
        <v>248</v>
      </c>
      <c r="C466" s="1183"/>
      <c r="D466" s="409" t="s">
        <v>453</v>
      </c>
      <c r="E466" s="409" t="s">
        <v>452</v>
      </c>
      <c r="F466" s="409" t="s">
        <v>243</v>
      </c>
      <c r="G466" s="1662"/>
      <c r="H466" s="2729">
        <f>H468</f>
        <v>2743.5610000000006</v>
      </c>
      <c r="I466" s="2730">
        <v>0</v>
      </c>
      <c r="J466" s="2731">
        <v>0</v>
      </c>
      <c r="K466" s="2692"/>
      <c r="L466" s="2692"/>
      <c r="M466" s="2692"/>
      <c r="N466" s="2732">
        <f>N468</f>
        <v>1555.6800000000003</v>
      </c>
      <c r="O466" s="2692"/>
      <c r="P466" s="2692"/>
      <c r="Q466" s="2692"/>
      <c r="R466" s="2692"/>
      <c r="S466" s="2692"/>
      <c r="T466" s="2692"/>
      <c r="U466" s="2729">
        <f>U468</f>
        <v>6778.5990000000002</v>
      </c>
    </row>
    <row r="467" spans="1:21" x14ac:dyDescent="0.25">
      <c r="A467" s="1179"/>
      <c r="B467" s="753" t="s">
        <v>948</v>
      </c>
      <c r="C467" s="1183"/>
      <c r="D467" s="409" t="s">
        <v>453</v>
      </c>
      <c r="E467" s="409" t="s">
        <v>452</v>
      </c>
      <c r="F467" s="409" t="s">
        <v>243</v>
      </c>
      <c r="G467" s="1662" t="s">
        <v>955</v>
      </c>
      <c r="H467" s="2729">
        <f t="shared" ref="H467:U467" si="99">H468</f>
        <v>2743.5610000000006</v>
      </c>
      <c r="I467" s="2730">
        <f t="shared" si="99"/>
        <v>0</v>
      </c>
      <c r="J467" s="2731">
        <f t="shared" si="99"/>
        <v>0</v>
      </c>
      <c r="K467" s="2692">
        <f t="shared" si="99"/>
        <v>0</v>
      </c>
      <c r="L467" s="2692">
        <f t="shared" si="99"/>
        <v>0</v>
      </c>
      <c r="M467" s="2692">
        <f t="shared" si="99"/>
        <v>0</v>
      </c>
      <c r="N467" s="2732">
        <f t="shared" si="99"/>
        <v>1555.6800000000003</v>
      </c>
      <c r="O467" s="2692">
        <f t="shared" si="99"/>
        <v>0</v>
      </c>
      <c r="P467" s="2692">
        <f t="shared" si="99"/>
        <v>0</v>
      </c>
      <c r="Q467" s="2692">
        <f t="shared" si="99"/>
        <v>0</v>
      </c>
      <c r="R467" s="2692">
        <f t="shared" si="99"/>
        <v>0</v>
      </c>
      <c r="S467" s="2692">
        <f t="shared" si="99"/>
        <v>0</v>
      </c>
      <c r="T467" s="2692">
        <f t="shared" si="99"/>
        <v>0</v>
      </c>
      <c r="U467" s="2729">
        <f t="shared" si="99"/>
        <v>6778.5990000000002</v>
      </c>
    </row>
    <row r="468" spans="1:21" ht="21" customHeight="1" x14ac:dyDescent="0.25">
      <c r="A468" s="1179"/>
      <c r="B468" s="753" t="s">
        <v>454</v>
      </c>
      <c r="C468" s="1180"/>
      <c r="D468" s="409" t="s">
        <v>453</v>
      </c>
      <c r="E468" s="409" t="s">
        <v>452</v>
      </c>
      <c r="F468" s="409" t="s">
        <v>243</v>
      </c>
      <c r="G468" s="1662" t="s">
        <v>1</v>
      </c>
      <c r="H468" s="2729">
        <f>7128-500-893.9-490.539-1500-1000</f>
        <v>2743.5610000000006</v>
      </c>
      <c r="I468" s="2730"/>
      <c r="J468" s="2731"/>
      <c r="K468" s="2692"/>
      <c r="L468" s="2692"/>
      <c r="M468" s="2692"/>
      <c r="N468" s="2732">
        <f>7555.68-6000</f>
        <v>1555.6800000000003</v>
      </c>
      <c r="O468" s="2692"/>
      <c r="P468" s="2692"/>
      <c r="Q468" s="2692"/>
      <c r="R468" s="2692"/>
      <c r="S468" s="2692"/>
      <c r="T468" s="2692"/>
      <c r="U468" s="2729">
        <v>6778.5990000000002</v>
      </c>
    </row>
    <row r="469" spans="1:21" ht="21" hidden="1" x14ac:dyDescent="0.25">
      <c r="A469" s="1179"/>
      <c r="B469" s="1182" t="s">
        <v>454</v>
      </c>
      <c r="C469" s="1183"/>
      <c r="D469" s="409" t="s">
        <v>453</v>
      </c>
      <c r="E469" s="409" t="s">
        <v>452</v>
      </c>
      <c r="F469" s="409" t="s">
        <v>500</v>
      </c>
      <c r="G469" s="1662" t="s">
        <v>26</v>
      </c>
      <c r="H469" s="2729"/>
      <c r="I469" s="2730"/>
      <c r="J469" s="2731"/>
      <c r="K469" s="2692"/>
      <c r="L469" s="2692"/>
      <c r="M469" s="2692"/>
      <c r="N469" s="2732"/>
      <c r="O469" s="2692"/>
      <c r="P469" s="2692"/>
      <c r="Q469" s="2692"/>
      <c r="R469" s="2692"/>
      <c r="S469" s="2692"/>
      <c r="T469" s="2692"/>
      <c r="U469" s="2729"/>
    </row>
    <row r="470" spans="1:21" x14ac:dyDescent="0.25">
      <c r="A470" s="1179"/>
      <c r="B470" s="1184" t="s">
        <v>334</v>
      </c>
      <c r="C470" s="1177"/>
      <c r="D470" s="408" t="s">
        <v>496</v>
      </c>
      <c r="E470" s="408" t="s">
        <v>459</v>
      </c>
      <c r="F470" s="408"/>
      <c r="G470" s="1661"/>
      <c r="H470" s="2733">
        <f>H471+H478</f>
        <v>690.87300000000005</v>
      </c>
      <c r="I470" s="2734">
        <f>I471+I478</f>
        <v>585.81999999999994</v>
      </c>
      <c r="J470" s="2767">
        <f>J471+J478</f>
        <v>610.88699999999994</v>
      </c>
      <c r="K470" s="2692"/>
      <c r="L470" s="2692"/>
      <c r="M470" s="2692"/>
      <c r="N470" s="2737">
        <f>N471+N478</f>
        <v>718.50800000000004</v>
      </c>
      <c r="O470" s="2692"/>
      <c r="P470" s="2692"/>
      <c r="Q470" s="2692"/>
      <c r="R470" s="2692"/>
      <c r="S470" s="2692"/>
      <c r="T470" s="2692"/>
      <c r="U470" s="2733">
        <f>U471+U478</f>
        <v>747.24800000000005</v>
      </c>
    </row>
    <row r="471" spans="1:21" x14ac:dyDescent="0.25">
      <c r="A471" s="1179"/>
      <c r="B471" s="1184" t="s">
        <v>79</v>
      </c>
      <c r="C471" s="1177"/>
      <c r="D471" s="408" t="s">
        <v>496</v>
      </c>
      <c r="E471" s="408" t="s">
        <v>456</v>
      </c>
      <c r="F471" s="408"/>
      <c r="G471" s="1661"/>
      <c r="H471" s="2733">
        <f t="shared" ref="H471:J474" si="100">H472</f>
        <v>690.87300000000005</v>
      </c>
      <c r="I471" s="2734">
        <f t="shared" si="100"/>
        <v>0</v>
      </c>
      <c r="J471" s="2767">
        <f t="shared" si="100"/>
        <v>0</v>
      </c>
      <c r="K471" s="2702">
        <v>615.01599999999996</v>
      </c>
      <c r="L471" s="2692"/>
      <c r="M471" s="2692"/>
      <c r="N471" s="2737">
        <f t="shared" ref="N471:N474" si="101">N472</f>
        <v>718.50800000000004</v>
      </c>
      <c r="O471" s="2692"/>
      <c r="P471" s="2692"/>
      <c r="Q471" s="2692"/>
      <c r="R471" s="2692"/>
      <c r="S471" s="2692"/>
      <c r="T471" s="2692"/>
      <c r="U471" s="2733">
        <f t="shared" ref="U471:U474" si="102">U472</f>
        <v>747.24800000000005</v>
      </c>
    </row>
    <row r="472" spans="1:21" ht="21" x14ac:dyDescent="0.25">
      <c r="A472" s="1179"/>
      <c r="B472" s="753" t="s">
        <v>499</v>
      </c>
      <c r="C472" s="1177"/>
      <c r="D472" s="409" t="s">
        <v>496</v>
      </c>
      <c r="E472" s="409" t="s">
        <v>456</v>
      </c>
      <c r="F472" s="409" t="s">
        <v>89</v>
      </c>
      <c r="G472" s="1661"/>
      <c r="H472" s="2733">
        <f t="shared" si="100"/>
        <v>690.87300000000005</v>
      </c>
      <c r="I472" s="2734">
        <f t="shared" si="100"/>
        <v>0</v>
      </c>
      <c r="J472" s="2767">
        <f t="shared" si="100"/>
        <v>0</v>
      </c>
      <c r="K472" s="2692"/>
      <c r="L472" s="2692"/>
      <c r="M472" s="2692"/>
      <c r="N472" s="2737">
        <f t="shared" si="101"/>
        <v>718.50800000000004</v>
      </c>
      <c r="O472" s="2692"/>
      <c r="P472" s="2692"/>
      <c r="Q472" s="2692"/>
      <c r="R472" s="2692"/>
      <c r="S472" s="2692"/>
      <c r="T472" s="2692"/>
      <c r="U472" s="2733">
        <f t="shared" si="102"/>
        <v>747.24800000000005</v>
      </c>
    </row>
    <row r="473" spans="1:21" x14ac:dyDescent="0.25">
      <c r="A473" s="1179"/>
      <c r="B473" s="753" t="s">
        <v>109</v>
      </c>
      <c r="C473" s="1180"/>
      <c r="D473" s="409" t="s">
        <v>496</v>
      </c>
      <c r="E473" s="409" t="s">
        <v>456</v>
      </c>
      <c r="F473" s="409" t="s">
        <v>84</v>
      </c>
      <c r="G473" s="1662"/>
      <c r="H473" s="2729">
        <f t="shared" si="100"/>
        <v>690.87300000000005</v>
      </c>
      <c r="I473" s="2730">
        <f t="shared" si="100"/>
        <v>0</v>
      </c>
      <c r="J473" s="2746">
        <f t="shared" si="100"/>
        <v>0</v>
      </c>
      <c r="K473" s="2692"/>
      <c r="L473" s="2692"/>
      <c r="M473" s="2692"/>
      <c r="N473" s="2732">
        <f t="shared" si="101"/>
        <v>718.50800000000004</v>
      </c>
      <c r="O473" s="2692"/>
      <c r="P473" s="2692"/>
      <c r="Q473" s="2692"/>
      <c r="R473" s="2692"/>
      <c r="S473" s="2692"/>
      <c r="T473" s="2692"/>
      <c r="U473" s="2729">
        <f t="shared" si="102"/>
        <v>747.24800000000005</v>
      </c>
    </row>
    <row r="474" spans="1:21" x14ac:dyDescent="0.25">
      <c r="A474" s="1179"/>
      <c r="B474" s="753" t="s">
        <v>109</v>
      </c>
      <c r="C474" s="1180"/>
      <c r="D474" s="409" t="s">
        <v>496</v>
      </c>
      <c r="E474" s="409" t="s">
        <v>456</v>
      </c>
      <c r="F474" s="409" t="s">
        <v>82</v>
      </c>
      <c r="G474" s="1662"/>
      <c r="H474" s="2729">
        <f t="shared" si="100"/>
        <v>690.87300000000005</v>
      </c>
      <c r="I474" s="2730">
        <f t="shared" si="100"/>
        <v>0</v>
      </c>
      <c r="J474" s="2746">
        <f t="shared" si="100"/>
        <v>0</v>
      </c>
      <c r="K474" s="2692"/>
      <c r="L474" s="2692"/>
      <c r="M474" s="2692"/>
      <c r="N474" s="2732">
        <f t="shared" si="101"/>
        <v>718.50800000000004</v>
      </c>
      <c r="O474" s="2692"/>
      <c r="P474" s="2692"/>
      <c r="Q474" s="2692"/>
      <c r="R474" s="2692"/>
      <c r="S474" s="2692"/>
      <c r="T474" s="2692"/>
      <c r="U474" s="2729">
        <f t="shared" si="102"/>
        <v>747.24800000000005</v>
      </c>
    </row>
    <row r="475" spans="1:21" x14ac:dyDescent="0.25">
      <c r="A475" s="1179"/>
      <c r="B475" s="753" t="s">
        <v>81</v>
      </c>
      <c r="C475" s="1180"/>
      <c r="D475" s="409" t="s">
        <v>496</v>
      </c>
      <c r="E475" s="409" t="s">
        <v>456</v>
      </c>
      <c r="F475" s="409" t="s">
        <v>78</v>
      </c>
      <c r="G475" s="1662"/>
      <c r="H475" s="2729">
        <f>H477</f>
        <v>690.87300000000005</v>
      </c>
      <c r="I475" s="2730">
        <f>I477</f>
        <v>0</v>
      </c>
      <c r="J475" s="2746">
        <f>J477</f>
        <v>0</v>
      </c>
      <c r="K475" s="2692"/>
      <c r="L475" s="2692"/>
      <c r="M475" s="2692"/>
      <c r="N475" s="2732">
        <f>N477</f>
        <v>718.50800000000004</v>
      </c>
      <c r="O475" s="2692"/>
      <c r="P475" s="2692"/>
      <c r="Q475" s="2692"/>
      <c r="R475" s="2692"/>
      <c r="S475" s="2692"/>
      <c r="T475" s="2692"/>
      <c r="U475" s="2729">
        <f>U477</f>
        <v>747.24800000000005</v>
      </c>
    </row>
    <row r="476" spans="1:21" x14ac:dyDescent="0.25">
      <c r="A476" s="1179"/>
      <c r="B476" s="753" t="s">
        <v>852</v>
      </c>
      <c r="C476" s="1180"/>
      <c r="D476" s="409" t="s">
        <v>496</v>
      </c>
      <c r="E476" s="409" t="s">
        <v>456</v>
      </c>
      <c r="F476" s="409" t="s">
        <v>78</v>
      </c>
      <c r="G476" s="1662" t="s">
        <v>860</v>
      </c>
      <c r="H476" s="2729">
        <f t="shared" ref="H476:U476" si="103">H477</f>
        <v>690.87300000000005</v>
      </c>
      <c r="I476" s="2730">
        <f t="shared" si="103"/>
        <v>0</v>
      </c>
      <c r="J476" s="2747">
        <f t="shared" si="103"/>
        <v>0</v>
      </c>
      <c r="K476" s="2692">
        <f t="shared" si="103"/>
        <v>0</v>
      </c>
      <c r="L476" s="2692">
        <f t="shared" si="103"/>
        <v>0</v>
      </c>
      <c r="M476" s="2692">
        <f t="shared" si="103"/>
        <v>0</v>
      </c>
      <c r="N476" s="2732">
        <f t="shared" si="103"/>
        <v>718.50800000000004</v>
      </c>
      <c r="O476" s="2692">
        <f t="shared" si="103"/>
        <v>0</v>
      </c>
      <c r="P476" s="2692">
        <f t="shared" si="103"/>
        <v>0</v>
      </c>
      <c r="Q476" s="2692">
        <f t="shared" si="103"/>
        <v>0</v>
      </c>
      <c r="R476" s="2692">
        <f t="shared" si="103"/>
        <v>0</v>
      </c>
      <c r="S476" s="2692">
        <f t="shared" si="103"/>
        <v>0</v>
      </c>
      <c r="T476" s="2692">
        <f t="shared" si="103"/>
        <v>0</v>
      </c>
      <c r="U476" s="2729">
        <f t="shared" si="103"/>
        <v>747.24800000000005</v>
      </c>
    </row>
    <row r="477" spans="1:21" x14ac:dyDescent="0.25">
      <c r="A477" s="1179"/>
      <c r="B477" s="1236" t="s">
        <v>497</v>
      </c>
      <c r="C477" s="1183"/>
      <c r="D477" s="409" t="s">
        <v>496</v>
      </c>
      <c r="E477" s="409" t="s">
        <v>456</v>
      </c>
      <c r="F477" s="409" t="s">
        <v>78</v>
      </c>
      <c r="G477" s="1662" t="s">
        <v>77</v>
      </c>
      <c r="H477" s="2729">
        <v>690.87300000000005</v>
      </c>
      <c r="I477" s="2730"/>
      <c r="J477" s="2731"/>
      <c r="K477" s="2692"/>
      <c r="L477" s="2692"/>
      <c r="M477" s="2692"/>
      <c r="N477" s="2732">
        <v>718.50800000000004</v>
      </c>
      <c r="O477" s="2692"/>
      <c r="P477" s="2692"/>
      <c r="Q477" s="2692"/>
      <c r="R477" s="2692"/>
      <c r="S477" s="2692"/>
      <c r="T477" s="2692"/>
      <c r="U477" s="2729">
        <v>747.24800000000005</v>
      </c>
    </row>
    <row r="478" spans="1:21" hidden="1" x14ac:dyDescent="0.25">
      <c r="A478" s="1179"/>
      <c r="B478" s="1184" t="s">
        <v>45</v>
      </c>
      <c r="C478" s="1177"/>
      <c r="D478" s="408" t="s">
        <v>496</v>
      </c>
      <c r="E478" s="408" t="s">
        <v>495</v>
      </c>
      <c r="F478" s="408"/>
      <c r="G478" s="1661"/>
      <c r="H478" s="2733">
        <f t="shared" ref="H478:J481" si="104">H479</f>
        <v>0</v>
      </c>
      <c r="I478" s="2734">
        <f t="shared" si="104"/>
        <v>585.81999999999994</v>
      </c>
      <c r="J478" s="2767">
        <f t="shared" si="104"/>
        <v>610.88699999999994</v>
      </c>
      <c r="K478" s="2692"/>
      <c r="L478" s="2692"/>
      <c r="M478" s="2692"/>
      <c r="N478" s="2737">
        <f t="shared" ref="N478:N481" si="105">N479</f>
        <v>0</v>
      </c>
      <c r="O478" s="2692"/>
      <c r="P478" s="2692"/>
      <c r="Q478" s="2692"/>
      <c r="R478" s="2692"/>
      <c r="S478" s="2692"/>
      <c r="T478" s="2692"/>
      <c r="U478" s="2733">
        <f t="shared" ref="U478:U481" si="106">U479</f>
        <v>0</v>
      </c>
    </row>
    <row r="479" spans="1:21" ht="31.5" hidden="1" x14ac:dyDescent="0.25">
      <c r="A479" s="1179"/>
      <c r="B479" s="1203" t="s">
        <v>861</v>
      </c>
      <c r="C479" s="1177"/>
      <c r="D479" s="408" t="s">
        <v>496</v>
      </c>
      <c r="E479" s="408" t="s">
        <v>495</v>
      </c>
      <c r="F479" s="408" t="s">
        <v>468</v>
      </c>
      <c r="G479" s="1661"/>
      <c r="H479" s="2733">
        <f>H480+H484</f>
        <v>0</v>
      </c>
      <c r="I479" s="2734">
        <f t="shared" si="104"/>
        <v>585.81999999999994</v>
      </c>
      <c r="J479" s="2767">
        <f t="shared" si="104"/>
        <v>610.88699999999994</v>
      </c>
      <c r="K479" s="2692"/>
      <c r="L479" s="2692"/>
      <c r="M479" s="2692"/>
      <c r="N479" s="2737">
        <f>N480+N484</f>
        <v>0</v>
      </c>
      <c r="O479" s="2692"/>
      <c r="P479" s="2692"/>
      <c r="Q479" s="2692"/>
      <c r="R479" s="2692"/>
      <c r="S479" s="2692"/>
      <c r="T479" s="2692"/>
      <c r="U479" s="2733">
        <f>U480+U484</f>
        <v>0</v>
      </c>
    </row>
    <row r="480" spans="1:21" hidden="1" x14ac:dyDescent="0.25">
      <c r="A480" s="1179"/>
      <c r="B480" s="1203" t="s">
        <v>849</v>
      </c>
      <c r="C480" s="1180"/>
      <c r="D480" s="409" t="s">
        <v>496</v>
      </c>
      <c r="E480" s="409" t="s">
        <v>495</v>
      </c>
      <c r="F480" s="409" t="s">
        <v>854</v>
      </c>
      <c r="G480" s="1662"/>
      <c r="H480" s="2729">
        <f t="shared" si="104"/>
        <v>0</v>
      </c>
      <c r="I480" s="2730">
        <f t="shared" si="104"/>
        <v>585.81999999999994</v>
      </c>
      <c r="J480" s="2746">
        <f t="shared" si="104"/>
        <v>610.88699999999994</v>
      </c>
      <c r="K480" s="2692"/>
      <c r="L480" s="2692"/>
      <c r="M480" s="2692"/>
      <c r="N480" s="2732">
        <f t="shared" si="105"/>
        <v>0</v>
      </c>
      <c r="O480" s="2692"/>
      <c r="P480" s="2692"/>
      <c r="Q480" s="2692"/>
      <c r="R480" s="2692"/>
      <c r="S480" s="2692"/>
      <c r="T480" s="2692"/>
      <c r="U480" s="2729">
        <f t="shared" si="106"/>
        <v>0</v>
      </c>
    </row>
    <row r="481" spans="1:21" hidden="1" x14ac:dyDescent="0.25">
      <c r="A481" s="1179"/>
      <c r="B481" s="1203" t="s">
        <v>850</v>
      </c>
      <c r="C481" s="1180"/>
      <c r="D481" s="409" t="s">
        <v>496</v>
      </c>
      <c r="E481" s="409" t="s">
        <v>495</v>
      </c>
      <c r="F481" s="409" t="s">
        <v>855</v>
      </c>
      <c r="G481" s="1662"/>
      <c r="H481" s="2729">
        <f t="shared" si="104"/>
        <v>0</v>
      </c>
      <c r="I481" s="2730">
        <f t="shared" si="104"/>
        <v>585.81999999999994</v>
      </c>
      <c r="J481" s="2746">
        <f t="shared" si="104"/>
        <v>610.88699999999994</v>
      </c>
      <c r="K481" s="2692"/>
      <c r="L481" s="2692"/>
      <c r="M481" s="2692"/>
      <c r="N481" s="2732">
        <f t="shared" si="105"/>
        <v>0</v>
      </c>
      <c r="O481" s="2692"/>
      <c r="P481" s="2692"/>
      <c r="Q481" s="2692"/>
      <c r="R481" s="2692"/>
      <c r="S481" s="2692"/>
      <c r="T481" s="2692"/>
      <c r="U481" s="2729">
        <f t="shared" si="106"/>
        <v>0</v>
      </c>
    </row>
    <row r="482" spans="1:21" ht="35.25" hidden="1" customHeight="1" x14ac:dyDescent="0.25">
      <c r="A482" s="1179"/>
      <c r="B482" s="1232" t="s">
        <v>851</v>
      </c>
      <c r="C482" s="1180"/>
      <c r="D482" s="409" t="s">
        <v>496</v>
      </c>
      <c r="E482" s="409" t="s">
        <v>495</v>
      </c>
      <c r="F482" s="1864" t="s">
        <v>856</v>
      </c>
      <c r="G482" s="1662"/>
      <c r="H482" s="2729">
        <f>H483</f>
        <v>0</v>
      </c>
      <c r="I482" s="2730">
        <f>I483+I487+I488</f>
        <v>585.81999999999994</v>
      </c>
      <c r="J482" s="2746">
        <f>J483+J487+J488</f>
        <v>610.88699999999994</v>
      </c>
      <c r="K482" s="2692"/>
      <c r="L482" s="2692"/>
      <c r="M482" s="2692"/>
      <c r="N482" s="2732">
        <f>N483</f>
        <v>0</v>
      </c>
      <c r="O482" s="2692"/>
      <c r="P482" s="2692"/>
      <c r="Q482" s="2692"/>
      <c r="R482" s="2692"/>
      <c r="S482" s="2692"/>
      <c r="T482" s="2692"/>
      <c r="U482" s="2729">
        <f>U483</f>
        <v>0</v>
      </c>
    </row>
    <row r="483" spans="1:21" hidden="1" x14ac:dyDescent="0.25">
      <c r="A483" s="1179"/>
      <c r="B483" s="1236" t="s">
        <v>497</v>
      </c>
      <c r="C483" s="1183"/>
      <c r="D483" s="409" t="s">
        <v>496</v>
      </c>
      <c r="E483" s="409" t="s">
        <v>495</v>
      </c>
      <c r="F483" s="1864" t="s">
        <v>856</v>
      </c>
      <c r="G483" s="1662" t="s">
        <v>77</v>
      </c>
      <c r="H483" s="2748"/>
      <c r="I483" s="2730">
        <v>31.3</v>
      </c>
      <c r="J483" s="2731">
        <v>34.43</v>
      </c>
      <c r="K483" s="2692"/>
      <c r="L483" s="2692"/>
      <c r="M483" s="2692"/>
      <c r="N483" s="2749">
        <v>0</v>
      </c>
      <c r="O483" s="2692"/>
      <c r="P483" s="2692"/>
      <c r="Q483" s="2692"/>
      <c r="R483" s="2692"/>
      <c r="S483" s="2692"/>
      <c r="T483" s="2692"/>
      <c r="U483" s="2748">
        <v>0</v>
      </c>
    </row>
    <row r="484" spans="1:21" ht="21" hidden="1" x14ac:dyDescent="0.25">
      <c r="A484" s="1179"/>
      <c r="B484" s="1203" t="s">
        <v>853</v>
      </c>
      <c r="C484" s="1183"/>
      <c r="D484" s="409" t="s">
        <v>496</v>
      </c>
      <c r="E484" s="409" t="s">
        <v>495</v>
      </c>
      <c r="F484" s="1864" t="s">
        <v>857</v>
      </c>
      <c r="G484" s="1662"/>
      <c r="H484" s="2748">
        <f>H485</f>
        <v>0</v>
      </c>
      <c r="I484" s="2730"/>
      <c r="J484" s="2731"/>
      <c r="K484" s="2692"/>
      <c r="L484" s="2692"/>
      <c r="M484" s="2692"/>
      <c r="N484" s="2749">
        <f>N485</f>
        <v>0</v>
      </c>
      <c r="O484" s="2692"/>
      <c r="P484" s="2692"/>
      <c r="Q484" s="2692"/>
      <c r="R484" s="2692"/>
      <c r="S484" s="2692"/>
      <c r="T484" s="2692"/>
      <c r="U484" s="2748">
        <f>U485</f>
        <v>0</v>
      </c>
    </row>
    <row r="485" spans="1:21" hidden="1" x14ac:dyDescent="0.25">
      <c r="A485" s="1179"/>
      <c r="B485" s="1203" t="s">
        <v>850</v>
      </c>
      <c r="C485" s="1183"/>
      <c r="D485" s="409" t="s">
        <v>496</v>
      </c>
      <c r="E485" s="409" t="s">
        <v>495</v>
      </c>
      <c r="F485" s="409" t="s">
        <v>858</v>
      </c>
      <c r="G485" s="1662"/>
      <c r="H485" s="2748">
        <f>H486</f>
        <v>0</v>
      </c>
      <c r="I485" s="2730"/>
      <c r="J485" s="2731"/>
      <c r="K485" s="2692"/>
      <c r="L485" s="2692"/>
      <c r="M485" s="2692"/>
      <c r="N485" s="2749">
        <f>N486</f>
        <v>0</v>
      </c>
      <c r="O485" s="2692"/>
      <c r="P485" s="2692"/>
      <c r="Q485" s="2692"/>
      <c r="R485" s="2692"/>
      <c r="S485" s="2692"/>
      <c r="T485" s="2692"/>
      <c r="U485" s="2748">
        <f>U486</f>
        <v>0</v>
      </c>
    </row>
    <row r="486" spans="1:21" ht="31.5" hidden="1" x14ac:dyDescent="0.25">
      <c r="A486" s="1179"/>
      <c r="B486" s="1203" t="s">
        <v>851</v>
      </c>
      <c r="C486" s="1183"/>
      <c r="D486" s="409" t="s">
        <v>496</v>
      </c>
      <c r="E486" s="409" t="s">
        <v>495</v>
      </c>
      <c r="F486" s="1864" t="s">
        <v>859</v>
      </c>
      <c r="G486" s="1662"/>
      <c r="H486" s="2748">
        <f>H487</f>
        <v>0</v>
      </c>
      <c r="I486" s="2730"/>
      <c r="J486" s="2731"/>
      <c r="K486" s="2692"/>
      <c r="L486" s="2692"/>
      <c r="M486" s="2692"/>
      <c r="N486" s="2749">
        <f>N487</f>
        <v>0</v>
      </c>
      <c r="O486" s="2692"/>
      <c r="P486" s="2692"/>
      <c r="Q486" s="2692"/>
      <c r="R486" s="2692"/>
      <c r="S486" s="2692"/>
      <c r="T486" s="2692"/>
      <c r="U486" s="2748">
        <f>U487</f>
        <v>0</v>
      </c>
    </row>
    <row r="487" spans="1:21" hidden="1" x14ac:dyDescent="0.25">
      <c r="A487" s="1179"/>
      <c r="B487" s="1236" t="s">
        <v>497</v>
      </c>
      <c r="C487" s="1183"/>
      <c r="D487" s="409" t="s">
        <v>496</v>
      </c>
      <c r="E487" s="409" t="s">
        <v>495</v>
      </c>
      <c r="F487" s="1864" t="s">
        <v>859</v>
      </c>
      <c r="G487" s="1662" t="s">
        <v>77</v>
      </c>
      <c r="H487" s="2748"/>
      <c r="I487" s="2730">
        <v>554.52</v>
      </c>
      <c r="J487" s="2731">
        <v>576.45699999999999</v>
      </c>
      <c r="K487" s="2692"/>
      <c r="L487" s="2692"/>
      <c r="M487" s="2692"/>
      <c r="N487" s="2749">
        <v>0</v>
      </c>
      <c r="O487" s="2692"/>
      <c r="P487" s="2692"/>
      <c r="Q487" s="2692"/>
      <c r="R487" s="2692"/>
      <c r="S487" s="2692"/>
      <c r="T487" s="2692"/>
      <c r="U487" s="2748">
        <v>0</v>
      </c>
    </row>
    <row r="488" spans="1:21" hidden="1" x14ac:dyDescent="0.25">
      <c r="A488" s="1179"/>
      <c r="B488" s="1182" t="s">
        <v>497</v>
      </c>
      <c r="C488" s="1183"/>
      <c r="D488" s="409" t="s">
        <v>496</v>
      </c>
      <c r="E488" s="409" t="s">
        <v>495</v>
      </c>
      <c r="F488" s="409" t="s">
        <v>43</v>
      </c>
      <c r="G488" s="1662" t="s">
        <v>77</v>
      </c>
      <c r="H488" s="2729"/>
      <c r="I488" s="2730"/>
      <c r="J488" s="2731"/>
      <c r="K488" s="2692"/>
      <c r="L488" s="2692"/>
      <c r="M488" s="2692"/>
      <c r="N488" s="2732"/>
      <c r="O488" s="2692"/>
      <c r="P488" s="2692"/>
      <c r="Q488" s="2692"/>
      <c r="R488" s="2692"/>
      <c r="S488" s="2692"/>
      <c r="T488" s="2692"/>
      <c r="U488" s="2729"/>
    </row>
    <row r="489" spans="1:21" x14ac:dyDescent="0.25">
      <c r="A489" s="1179"/>
      <c r="B489" s="1184" t="s">
        <v>331</v>
      </c>
      <c r="C489" s="1177"/>
      <c r="D489" s="408" t="s">
        <v>464</v>
      </c>
      <c r="E489" s="408" t="s">
        <v>459</v>
      </c>
      <c r="F489" s="408"/>
      <c r="G489" s="1661"/>
      <c r="H489" s="2733">
        <f>H490+H498</f>
        <v>700</v>
      </c>
      <c r="I489" s="2734">
        <f>I490+I498</f>
        <v>0</v>
      </c>
      <c r="J489" s="2767">
        <f>J490+J498</f>
        <v>0</v>
      </c>
      <c r="K489" s="2702">
        <v>600</v>
      </c>
      <c r="L489" s="2692"/>
      <c r="M489" s="2692"/>
      <c r="N489" s="2737">
        <f>N490+N498</f>
        <v>0</v>
      </c>
      <c r="O489" s="2692"/>
      <c r="P489" s="2692"/>
      <c r="Q489" s="2692"/>
      <c r="R489" s="2692"/>
      <c r="S489" s="2692"/>
      <c r="T489" s="2692"/>
      <c r="U489" s="2733">
        <f>U490+U498</f>
        <v>800</v>
      </c>
    </row>
    <row r="490" spans="1:21" hidden="1" x14ac:dyDescent="0.25">
      <c r="A490" s="1179"/>
      <c r="B490" s="1184" t="s">
        <v>494</v>
      </c>
      <c r="C490" s="1177"/>
      <c r="D490" s="408" t="s">
        <v>464</v>
      </c>
      <c r="E490" s="408" t="s">
        <v>488</v>
      </c>
      <c r="F490" s="408" t="s">
        <v>106</v>
      </c>
      <c r="G490" s="1661" t="s">
        <v>106</v>
      </c>
      <c r="H490" s="2733">
        <f t="shared" ref="H490:J493" si="107">H491</f>
        <v>0</v>
      </c>
      <c r="I490" s="2734">
        <f t="shared" si="107"/>
        <v>0</v>
      </c>
      <c r="J490" s="2767">
        <f t="shared" si="107"/>
        <v>0</v>
      </c>
      <c r="K490" s="2692"/>
      <c r="L490" s="2692"/>
      <c r="M490" s="2692"/>
      <c r="N490" s="2737">
        <f t="shared" ref="N490:N493" si="108">N491</f>
        <v>0</v>
      </c>
      <c r="O490" s="2692"/>
      <c r="P490" s="2692"/>
      <c r="Q490" s="2692"/>
      <c r="R490" s="2692"/>
      <c r="S490" s="2692"/>
      <c r="T490" s="2692"/>
      <c r="U490" s="2733">
        <f t="shared" ref="U490:U493" si="109">U491</f>
        <v>0</v>
      </c>
    </row>
    <row r="491" spans="1:21" ht="34.5" hidden="1" x14ac:dyDescent="0.25">
      <c r="A491" s="1179"/>
      <c r="B491" s="1184" t="s">
        <v>493</v>
      </c>
      <c r="C491" s="1177"/>
      <c r="D491" s="408" t="s">
        <v>464</v>
      </c>
      <c r="E491" s="408" t="s">
        <v>488</v>
      </c>
      <c r="F491" s="408" t="s">
        <v>311</v>
      </c>
      <c r="G491" s="1661"/>
      <c r="H491" s="2733">
        <f t="shared" si="107"/>
        <v>0</v>
      </c>
      <c r="I491" s="2734">
        <f t="shared" si="107"/>
        <v>0</v>
      </c>
      <c r="J491" s="2767">
        <f t="shared" si="107"/>
        <v>0</v>
      </c>
      <c r="K491" s="2692"/>
      <c r="L491" s="2692"/>
      <c r="M491" s="2692"/>
      <c r="N491" s="2737">
        <f t="shared" si="108"/>
        <v>0</v>
      </c>
      <c r="O491" s="2692"/>
      <c r="P491" s="2692"/>
      <c r="Q491" s="2692"/>
      <c r="R491" s="2692"/>
      <c r="S491" s="2692"/>
      <c r="T491" s="2692"/>
      <c r="U491" s="2733">
        <f t="shared" si="109"/>
        <v>0</v>
      </c>
    </row>
    <row r="492" spans="1:21" ht="34.5" hidden="1" x14ac:dyDescent="0.25">
      <c r="A492" s="1233"/>
      <c r="B492" s="1253" t="s">
        <v>492</v>
      </c>
      <c r="C492" s="1180"/>
      <c r="D492" s="409" t="s">
        <v>464</v>
      </c>
      <c r="E492" s="409" t="s">
        <v>488</v>
      </c>
      <c r="F492" s="409" t="s">
        <v>491</v>
      </c>
      <c r="G492" s="1662"/>
      <c r="H492" s="2729">
        <f t="shared" si="107"/>
        <v>0</v>
      </c>
      <c r="I492" s="2730">
        <f t="shared" si="107"/>
        <v>0</v>
      </c>
      <c r="J492" s="2746">
        <f t="shared" si="107"/>
        <v>0</v>
      </c>
      <c r="K492" s="2692"/>
      <c r="L492" s="2692"/>
      <c r="M492" s="2692"/>
      <c r="N492" s="2732">
        <f t="shared" si="108"/>
        <v>0</v>
      </c>
      <c r="O492" s="2692"/>
      <c r="P492" s="2692"/>
      <c r="Q492" s="2692"/>
      <c r="R492" s="2692"/>
      <c r="S492" s="2692"/>
      <c r="T492" s="2692"/>
      <c r="U492" s="2729">
        <f t="shared" si="109"/>
        <v>0</v>
      </c>
    </row>
    <row r="493" spans="1:21" hidden="1" x14ac:dyDescent="0.25">
      <c r="A493" s="1233"/>
      <c r="B493" s="1253" t="s">
        <v>490</v>
      </c>
      <c r="C493" s="1180"/>
      <c r="D493" s="409" t="s">
        <v>464</v>
      </c>
      <c r="E493" s="409" t="s">
        <v>488</v>
      </c>
      <c r="F493" s="409" t="s">
        <v>489</v>
      </c>
      <c r="G493" s="1662"/>
      <c r="H493" s="2729">
        <f t="shared" si="107"/>
        <v>0</v>
      </c>
      <c r="I493" s="2730">
        <f t="shared" si="107"/>
        <v>0</v>
      </c>
      <c r="J493" s="2746">
        <f t="shared" si="107"/>
        <v>0</v>
      </c>
      <c r="K493" s="2692"/>
      <c r="L493" s="2692"/>
      <c r="M493" s="2692"/>
      <c r="N493" s="2732">
        <f t="shared" si="108"/>
        <v>0</v>
      </c>
      <c r="O493" s="2692"/>
      <c r="P493" s="2692"/>
      <c r="Q493" s="2692"/>
      <c r="R493" s="2692"/>
      <c r="S493" s="2692"/>
      <c r="T493" s="2692"/>
      <c r="U493" s="2729">
        <f t="shared" si="109"/>
        <v>0</v>
      </c>
    </row>
    <row r="494" spans="1:21" hidden="1" x14ac:dyDescent="0.25">
      <c r="A494" s="1233"/>
      <c r="B494" s="1253" t="s">
        <v>351</v>
      </c>
      <c r="C494" s="1180"/>
      <c r="D494" s="409" t="s">
        <v>464</v>
      </c>
      <c r="E494" s="409" t="s">
        <v>488</v>
      </c>
      <c r="F494" s="409" t="s">
        <v>487</v>
      </c>
      <c r="G494" s="1662"/>
      <c r="H494" s="2729">
        <f>H495+H496+H497</f>
        <v>0</v>
      </c>
      <c r="I494" s="2730">
        <f>I495+I496+I497</f>
        <v>0</v>
      </c>
      <c r="J494" s="2746">
        <f>J495+J496+J497</f>
        <v>0</v>
      </c>
      <c r="K494" s="2692"/>
      <c r="L494" s="2692"/>
      <c r="M494" s="2692"/>
      <c r="N494" s="2732">
        <f>N495+N496+N497</f>
        <v>0</v>
      </c>
      <c r="O494" s="2692"/>
      <c r="P494" s="2692"/>
      <c r="Q494" s="2692"/>
      <c r="R494" s="2692"/>
      <c r="S494" s="2692"/>
      <c r="T494" s="2692"/>
      <c r="U494" s="2729">
        <f>U495+U496+U497</f>
        <v>0</v>
      </c>
    </row>
    <row r="495" spans="1:21" hidden="1" x14ac:dyDescent="0.25">
      <c r="A495" s="1179"/>
      <c r="B495" s="1254" t="s">
        <v>458</v>
      </c>
      <c r="C495" s="1183"/>
      <c r="D495" s="409" t="s">
        <v>464</v>
      </c>
      <c r="E495" s="409" t="s">
        <v>488</v>
      </c>
      <c r="F495" s="409" t="s">
        <v>487</v>
      </c>
      <c r="G495" s="1662" t="s">
        <v>255</v>
      </c>
      <c r="H495" s="2729"/>
      <c r="I495" s="2730"/>
      <c r="J495" s="2746"/>
      <c r="K495" s="2692"/>
      <c r="L495" s="2692"/>
      <c r="M495" s="2692"/>
      <c r="N495" s="2732"/>
      <c r="O495" s="2692"/>
      <c r="P495" s="2692"/>
      <c r="Q495" s="2692"/>
      <c r="R495" s="2692"/>
      <c r="S495" s="2692"/>
      <c r="T495" s="2692"/>
      <c r="U495" s="2729"/>
    </row>
    <row r="496" spans="1:21" ht="23" hidden="1" x14ac:dyDescent="0.25">
      <c r="A496" s="1179"/>
      <c r="B496" s="1254" t="s">
        <v>454</v>
      </c>
      <c r="C496" s="1183"/>
      <c r="D496" s="409" t="s">
        <v>464</v>
      </c>
      <c r="E496" s="409" t="s">
        <v>488</v>
      </c>
      <c r="F496" s="409" t="s">
        <v>487</v>
      </c>
      <c r="G496" s="1662" t="s">
        <v>1</v>
      </c>
      <c r="H496" s="2729"/>
      <c r="I496" s="2730"/>
      <c r="J496" s="2746"/>
      <c r="K496" s="2692"/>
      <c r="L496" s="2692"/>
      <c r="M496" s="2692"/>
      <c r="N496" s="2732"/>
      <c r="O496" s="2692"/>
      <c r="P496" s="2692"/>
      <c r="Q496" s="2692"/>
      <c r="R496" s="2692"/>
      <c r="S496" s="2692"/>
      <c r="T496" s="2692"/>
      <c r="U496" s="2729"/>
    </row>
    <row r="497" spans="1:21" hidden="1" x14ac:dyDescent="0.25">
      <c r="A497" s="1179"/>
      <c r="B497" s="1254" t="s">
        <v>457</v>
      </c>
      <c r="C497" s="1183"/>
      <c r="D497" s="409" t="s">
        <v>464</v>
      </c>
      <c r="E497" s="409" t="s">
        <v>488</v>
      </c>
      <c r="F497" s="409" t="s">
        <v>487</v>
      </c>
      <c r="G497" s="1662" t="s">
        <v>91</v>
      </c>
      <c r="H497" s="2729"/>
      <c r="I497" s="2730"/>
      <c r="J497" s="2746"/>
      <c r="K497" s="2692"/>
      <c r="L497" s="2692"/>
      <c r="M497" s="2692"/>
      <c r="N497" s="2732"/>
      <c r="O497" s="2692"/>
      <c r="P497" s="2692"/>
      <c r="Q497" s="2692"/>
      <c r="R497" s="2692"/>
      <c r="S497" s="2692"/>
      <c r="T497" s="2692"/>
      <c r="U497" s="2729"/>
    </row>
    <row r="498" spans="1:21" x14ac:dyDescent="0.25">
      <c r="A498" s="1179"/>
      <c r="B498" s="1184" t="s">
        <v>64</v>
      </c>
      <c r="C498" s="1177"/>
      <c r="D498" s="408" t="s">
        <v>464</v>
      </c>
      <c r="E498" s="408" t="s">
        <v>463</v>
      </c>
      <c r="F498" s="408" t="s">
        <v>106</v>
      </c>
      <c r="G498" s="1661" t="s">
        <v>106</v>
      </c>
      <c r="H498" s="2733">
        <f>H499+H526</f>
        <v>700</v>
      </c>
      <c r="I498" s="2734">
        <f>I499+I526</f>
        <v>0</v>
      </c>
      <c r="J498" s="2767">
        <f>J499+J526</f>
        <v>0</v>
      </c>
      <c r="K498" s="2692"/>
      <c r="L498" s="2692"/>
      <c r="M498" s="2692"/>
      <c r="N498" s="2737">
        <f>N499+N526</f>
        <v>0</v>
      </c>
      <c r="O498" s="2692"/>
      <c r="P498" s="2692"/>
      <c r="Q498" s="2692"/>
      <c r="R498" s="2692"/>
      <c r="S498" s="2692"/>
      <c r="T498" s="2692"/>
      <c r="U498" s="2733">
        <f>U499+U526</f>
        <v>800</v>
      </c>
    </row>
    <row r="499" spans="1:21" ht="30" customHeight="1" x14ac:dyDescent="0.25">
      <c r="A499" s="1179"/>
      <c r="B499" s="1205" t="s">
        <v>906</v>
      </c>
      <c r="C499" s="1177"/>
      <c r="D499" s="409" t="s">
        <v>464</v>
      </c>
      <c r="E499" s="409" t="s">
        <v>463</v>
      </c>
      <c r="F499" s="409" t="s">
        <v>311</v>
      </c>
      <c r="G499" s="1661"/>
      <c r="H499" s="2733">
        <f>H500+H509</f>
        <v>700</v>
      </c>
      <c r="I499" s="2734">
        <f>I500+I509</f>
        <v>0</v>
      </c>
      <c r="J499" s="2767">
        <f>J500+J509</f>
        <v>0</v>
      </c>
      <c r="K499" s="2692"/>
      <c r="L499" s="2692"/>
      <c r="M499" s="2692"/>
      <c r="N499" s="2737">
        <f>N500+N509</f>
        <v>0</v>
      </c>
      <c r="O499" s="2692"/>
      <c r="P499" s="2692"/>
      <c r="Q499" s="2692"/>
      <c r="R499" s="2692"/>
      <c r="S499" s="2692"/>
      <c r="T499" s="2692"/>
      <c r="U499" s="2733">
        <f>U500+U509</f>
        <v>800</v>
      </c>
    </row>
    <row r="500" spans="1:21" ht="21" hidden="1" x14ac:dyDescent="0.25">
      <c r="A500" s="1179"/>
      <c r="B500" s="753" t="s">
        <v>486</v>
      </c>
      <c r="C500" s="1180"/>
      <c r="D500" s="409" t="s">
        <v>464</v>
      </c>
      <c r="E500" s="409" t="s">
        <v>463</v>
      </c>
      <c r="F500" s="409" t="s">
        <v>485</v>
      </c>
      <c r="G500" s="1661"/>
      <c r="H500" s="2729">
        <f>H501+H504</f>
        <v>0</v>
      </c>
      <c r="I500" s="2730">
        <f>I501+I504</f>
        <v>0</v>
      </c>
      <c r="J500" s="2746">
        <f>J501+J504</f>
        <v>0</v>
      </c>
      <c r="K500" s="2692"/>
      <c r="L500" s="2692"/>
      <c r="M500" s="2692"/>
      <c r="N500" s="2732">
        <f>N501+N504</f>
        <v>0</v>
      </c>
      <c r="O500" s="2692"/>
      <c r="P500" s="2692"/>
      <c r="Q500" s="2692"/>
      <c r="R500" s="2692"/>
      <c r="S500" s="2692"/>
      <c r="T500" s="2692"/>
      <c r="U500" s="2729">
        <f>U501+U504</f>
        <v>0</v>
      </c>
    </row>
    <row r="501" spans="1:21" ht="21" hidden="1" x14ac:dyDescent="0.25">
      <c r="A501" s="1179"/>
      <c r="B501" s="753" t="s">
        <v>484</v>
      </c>
      <c r="C501" s="1180"/>
      <c r="D501" s="409" t="s">
        <v>464</v>
      </c>
      <c r="E501" s="409" t="s">
        <v>463</v>
      </c>
      <c r="F501" s="409" t="s">
        <v>483</v>
      </c>
      <c r="G501" s="1661"/>
      <c r="H501" s="2729">
        <f t="shared" ref="H501:J502" si="110">H502</f>
        <v>0</v>
      </c>
      <c r="I501" s="2730">
        <f t="shared" si="110"/>
        <v>0</v>
      </c>
      <c r="J501" s="2746">
        <f t="shared" si="110"/>
        <v>0</v>
      </c>
      <c r="K501" s="2692"/>
      <c r="L501" s="2692"/>
      <c r="M501" s="2692"/>
      <c r="N501" s="2732">
        <f t="shared" ref="N501:N502" si="111">N502</f>
        <v>0</v>
      </c>
      <c r="O501" s="2692"/>
      <c r="P501" s="2692"/>
      <c r="Q501" s="2692"/>
      <c r="R501" s="2692"/>
      <c r="S501" s="2692"/>
      <c r="T501" s="2692"/>
      <c r="U501" s="2729">
        <f t="shared" ref="U501:U502" si="112">U502</f>
        <v>0</v>
      </c>
    </row>
    <row r="502" spans="1:21" ht="21" hidden="1" x14ac:dyDescent="0.25">
      <c r="A502" s="1179"/>
      <c r="B502" s="753" t="s">
        <v>482</v>
      </c>
      <c r="C502" s="1180"/>
      <c r="D502" s="409" t="s">
        <v>464</v>
      </c>
      <c r="E502" s="409" t="s">
        <v>463</v>
      </c>
      <c r="F502" s="409" t="s">
        <v>480</v>
      </c>
      <c r="G502" s="1662"/>
      <c r="H502" s="2729">
        <f t="shared" si="110"/>
        <v>0</v>
      </c>
      <c r="I502" s="2730">
        <f t="shared" si="110"/>
        <v>0</v>
      </c>
      <c r="J502" s="2746">
        <f t="shared" si="110"/>
        <v>0</v>
      </c>
      <c r="K502" s="2692"/>
      <c r="L502" s="2692"/>
      <c r="M502" s="2692"/>
      <c r="N502" s="2732">
        <f t="shared" si="111"/>
        <v>0</v>
      </c>
      <c r="O502" s="2692"/>
      <c r="P502" s="2692"/>
      <c r="Q502" s="2692"/>
      <c r="R502" s="2692"/>
      <c r="S502" s="2692"/>
      <c r="T502" s="2692"/>
      <c r="U502" s="2729">
        <f t="shared" si="112"/>
        <v>0</v>
      </c>
    </row>
    <row r="503" spans="1:21" hidden="1" x14ac:dyDescent="0.25">
      <c r="A503" s="1179"/>
      <c r="B503" s="1182" t="s">
        <v>481</v>
      </c>
      <c r="C503" s="1183"/>
      <c r="D503" s="409" t="s">
        <v>464</v>
      </c>
      <c r="E503" s="409" t="s">
        <v>463</v>
      </c>
      <c r="F503" s="409" t="s">
        <v>480</v>
      </c>
      <c r="G503" s="1662" t="s">
        <v>26</v>
      </c>
      <c r="H503" s="2729">
        <v>0</v>
      </c>
      <c r="I503" s="2730">
        <v>0</v>
      </c>
      <c r="J503" s="2746">
        <v>0</v>
      </c>
      <c r="K503" s="2692"/>
      <c r="L503" s="2692"/>
      <c r="M503" s="2692"/>
      <c r="N503" s="2732">
        <v>0</v>
      </c>
      <c r="O503" s="2692"/>
      <c r="P503" s="2692"/>
      <c r="Q503" s="2692"/>
      <c r="R503" s="2692"/>
      <c r="S503" s="2692"/>
      <c r="T503" s="2692"/>
      <c r="U503" s="2729">
        <v>0</v>
      </c>
    </row>
    <row r="504" spans="1:21" hidden="1" x14ac:dyDescent="0.25">
      <c r="A504" s="1179"/>
      <c r="B504" s="753" t="s">
        <v>479</v>
      </c>
      <c r="C504" s="1180"/>
      <c r="D504" s="409" t="s">
        <v>464</v>
      </c>
      <c r="E504" s="409" t="s">
        <v>463</v>
      </c>
      <c r="F504" s="409" t="s">
        <v>478</v>
      </c>
      <c r="G504" s="1661"/>
      <c r="H504" s="2729">
        <f>H505+H507</f>
        <v>0</v>
      </c>
      <c r="I504" s="2730">
        <f>I505+I507</f>
        <v>0</v>
      </c>
      <c r="J504" s="2746">
        <f>J505+J507</f>
        <v>0</v>
      </c>
      <c r="K504" s="2692"/>
      <c r="L504" s="2692"/>
      <c r="M504" s="2692"/>
      <c r="N504" s="2732">
        <f>N505+N507</f>
        <v>0</v>
      </c>
      <c r="O504" s="2692"/>
      <c r="P504" s="2692"/>
      <c r="Q504" s="2692"/>
      <c r="R504" s="2692"/>
      <c r="S504" s="2692"/>
      <c r="T504" s="2692"/>
      <c r="U504" s="2729">
        <f>U505+U507</f>
        <v>0</v>
      </c>
    </row>
    <row r="505" spans="1:21" hidden="1" x14ac:dyDescent="0.25">
      <c r="A505" s="1179"/>
      <c r="B505" s="753" t="s">
        <v>477</v>
      </c>
      <c r="C505" s="1180"/>
      <c r="D505" s="409" t="s">
        <v>464</v>
      </c>
      <c r="E505" s="409" t="s">
        <v>463</v>
      </c>
      <c r="F505" s="409" t="s">
        <v>476</v>
      </c>
      <c r="G505" s="1662"/>
      <c r="H505" s="2729">
        <f>H506</f>
        <v>0</v>
      </c>
      <c r="I505" s="2730">
        <f>I506</f>
        <v>0</v>
      </c>
      <c r="J505" s="2746">
        <f>J506</f>
        <v>0</v>
      </c>
      <c r="K505" s="2692"/>
      <c r="L505" s="2692"/>
      <c r="M505" s="2692"/>
      <c r="N505" s="2732">
        <f>N506</f>
        <v>0</v>
      </c>
      <c r="O505" s="2692"/>
      <c r="P505" s="2692"/>
      <c r="Q505" s="2692"/>
      <c r="R505" s="2692"/>
      <c r="S505" s="2692"/>
      <c r="T505" s="2692"/>
      <c r="U505" s="2729">
        <f>U506</f>
        <v>0</v>
      </c>
    </row>
    <row r="506" spans="1:21" ht="21" hidden="1" x14ac:dyDescent="0.25">
      <c r="A506" s="1179"/>
      <c r="B506" s="1182" t="s">
        <v>454</v>
      </c>
      <c r="C506" s="1183"/>
      <c r="D506" s="409" t="s">
        <v>464</v>
      </c>
      <c r="E506" s="409" t="s">
        <v>463</v>
      </c>
      <c r="F506" s="409" t="s">
        <v>476</v>
      </c>
      <c r="G506" s="1662" t="s">
        <v>1</v>
      </c>
      <c r="H506" s="2729"/>
      <c r="I506" s="2730"/>
      <c r="J506" s="2746"/>
      <c r="K506" s="2692"/>
      <c r="L506" s="2692"/>
      <c r="M506" s="2692"/>
      <c r="N506" s="2732"/>
      <c r="O506" s="2692"/>
      <c r="P506" s="2692"/>
      <c r="Q506" s="2692"/>
      <c r="R506" s="2692"/>
      <c r="S506" s="2692"/>
      <c r="T506" s="2692"/>
      <c r="U506" s="2729"/>
    </row>
    <row r="507" spans="1:21" hidden="1" x14ac:dyDescent="0.25">
      <c r="A507" s="1179"/>
      <c r="B507" s="753" t="s">
        <v>475</v>
      </c>
      <c r="C507" s="1180"/>
      <c r="D507" s="409" t="s">
        <v>464</v>
      </c>
      <c r="E507" s="409" t="s">
        <v>463</v>
      </c>
      <c r="F507" s="409" t="s">
        <v>474</v>
      </c>
      <c r="G507" s="1662"/>
      <c r="H507" s="2729">
        <f>H508</f>
        <v>0</v>
      </c>
      <c r="I507" s="2730">
        <f>I508</f>
        <v>0</v>
      </c>
      <c r="J507" s="2746">
        <f>J508</f>
        <v>0</v>
      </c>
      <c r="K507" s="2692"/>
      <c r="L507" s="2692"/>
      <c r="M507" s="2692"/>
      <c r="N507" s="2732">
        <f>N508</f>
        <v>0</v>
      </c>
      <c r="O507" s="2692"/>
      <c r="P507" s="2692"/>
      <c r="Q507" s="2692"/>
      <c r="R507" s="2692"/>
      <c r="S507" s="2692"/>
      <c r="T507" s="2692"/>
      <c r="U507" s="2729">
        <f>U508</f>
        <v>0</v>
      </c>
    </row>
    <row r="508" spans="1:21" ht="21" hidden="1" x14ac:dyDescent="0.25">
      <c r="A508" s="1179"/>
      <c r="B508" s="1182" t="s">
        <v>454</v>
      </c>
      <c r="C508" s="1183"/>
      <c r="D508" s="409" t="s">
        <v>464</v>
      </c>
      <c r="E508" s="409" t="s">
        <v>463</v>
      </c>
      <c r="F508" s="409" t="s">
        <v>474</v>
      </c>
      <c r="G508" s="1662" t="s">
        <v>1</v>
      </c>
      <c r="H508" s="2729">
        <v>0</v>
      </c>
      <c r="I508" s="2730">
        <v>0</v>
      </c>
      <c r="J508" s="2746">
        <v>0</v>
      </c>
      <c r="K508" s="2692"/>
      <c r="L508" s="2692"/>
      <c r="M508" s="2692"/>
      <c r="N508" s="2732">
        <v>0</v>
      </c>
      <c r="O508" s="2692"/>
      <c r="P508" s="2692"/>
      <c r="Q508" s="2692"/>
      <c r="R508" s="2692"/>
      <c r="S508" s="2692"/>
      <c r="T508" s="2692"/>
      <c r="U508" s="2729">
        <v>0</v>
      </c>
    </row>
    <row r="509" spans="1:21" ht="30" customHeight="1" x14ac:dyDescent="0.25">
      <c r="A509" s="1179"/>
      <c r="B509" s="1205" t="s">
        <v>300</v>
      </c>
      <c r="C509" s="1180"/>
      <c r="D509" s="409" t="s">
        <v>464</v>
      </c>
      <c r="E509" s="409" t="s">
        <v>463</v>
      </c>
      <c r="F509" s="409" t="s">
        <v>299</v>
      </c>
      <c r="G509" s="1662"/>
      <c r="H509" s="2729">
        <f>H510+H517</f>
        <v>700</v>
      </c>
      <c r="I509" s="2730">
        <f>I510+I522</f>
        <v>0</v>
      </c>
      <c r="J509" s="2746">
        <f>J510+J522</f>
        <v>0</v>
      </c>
      <c r="K509" s="2692"/>
      <c r="L509" s="2692"/>
      <c r="M509" s="2692"/>
      <c r="N509" s="2732">
        <f>N510+N517</f>
        <v>0</v>
      </c>
      <c r="O509" s="2692"/>
      <c r="P509" s="2692"/>
      <c r="Q509" s="2692"/>
      <c r="R509" s="2692"/>
      <c r="S509" s="2692"/>
      <c r="T509" s="2692"/>
      <c r="U509" s="2729">
        <f>U510+U517</f>
        <v>800</v>
      </c>
    </row>
    <row r="510" spans="1:21" ht="21" x14ac:dyDescent="0.25">
      <c r="A510" s="1179"/>
      <c r="B510" s="1203" t="s">
        <v>298</v>
      </c>
      <c r="C510" s="1180"/>
      <c r="D510" s="409" t="s">
        <v>464</v>
      </c>
      <c r="E510" s="409" t="s">
        <v>463</v>
      </c>
      <c r="F510" s="409" t="s">
        <v>297</v>
      </c>
      <c r="G510" s="1662"/>
      <c r="H510" s="2729">
        <f t="shared" ref="H510:J510" si="113">H511</f>
        <v>700</v>
      </c>
      <c r="I510" s="2730">
        <f t="shared" si="113"/>
        <v>0</v>
      </c>
      <c r="J510" s="2746">
        <f t="shared" si="113"/>
        <v>0</v>
      </c>
      <c r="K510" s="2692"/>
      <c r="L510" s="2692"/>
      <c r="M510" s="2692"/>
      <c r="N510" s="2732">
        <f t="shared" ref="N510" si="114">N511</f>
        <v>0</v>
      </c>
      <c r="O510" s="2692"/>
      <c r="P510" s="2692"/>
      <c r="Q510" s="2692"/>
      <c r="R510" s="2692"/>
      <c r="S510" s="2692"/>
      <c r="T510" s="2692"/>
      <c r="U510" s="2729">
        <f t="shared" ref="U510" si="115">U511</f>
        <v>800</v>
      </c>
    </row>
    <row r="511" spans="1:21" ht="21" customHeight="1" x14ac:dyDescent="0.25">
      <c r="A511" s="1233"/>
      <c r="B511" s="1205" t="s">
        <v>296</v>
      </c>
      <c r="C511" s="1180"/>
      <c r="D511" s="409" t="s">
        <v>464</v>
      </c>
      <c r="E511" s="409" t="s">
        <v>463</v>
      </c>
      <c r="F511" s="409" t="s">
        <v>294</v>
      </c>
      <c r="G511" s="1662"/>
      <c r="H511" s="2729">
        <f>H513</f>
        <v>700</v>
      </c>
      <c r="I511" s="2730">
        <f>I513</f>
        <v>0</v>
      </c>
      <c r="J511" s="2746">
        <f>J513</f>
        <v>0</v>
      </c>
      <c r="K511" s="2692"/>
      <c r="L511" s="2692"/>
      <c r="M511" s="2692"/>
      <c r="N511" s="2732">
        <f>N513</f>
        <v>0</v>
      </c>
      <c r="O511" s="2692"/>
      <c r="P511" s="2692"/>
      <c r="Q511" s="2692"/>
      <c r="R511" s="2692"/>
      <c r="S511" s="2692"/>
      <c r="T511" s="2692"/>
      <c r="U511" s="2729">
        <f>U513</f>
        <v>800</v>
      </c>
    </row>
    <row r="512" spans="1:21" x14ac:dyDescent="0.25">
      <c r="A512" s="1233"/>
      <c r="B512" s="753" t="s">
        <v>948</v>
      </c>
      <c r="C512" s="1180"/>
      <c r="D512" s="409" t="s">
        <v>464</v>
      </c>
      <c r="E512" s="409" t="s">
        <v>463</v>
      </c>
      <c r="F512" s="409" t="s">
        <v>294</v>
      </c>
      <c r="G512" s="1662" t="s">
        <v>955</v>
      </c>
      <c r="H512" s="2729">
        <f t="shared" ref="H512:U512" si="116">H513</f>
        <v>700</v>
      </c>
      <c r="I512" s="2730">
        <f t="shared" si="116"/>
        <v>0</v>
      </c>
      <c r="J512" s="2747">
        <f t="shared" si="116"/>
        <v>0</v>
      </c>
      <c r="K512" s="2692">
        <f t="shared" si="116"/>
        <v>0</v>
      </c>
      <c r="L512" s="2692">
        <f t="shared" si="116"/>
        <v>0</v>
      </c>
      <c r="M512" s="2692">
        <f t="shared" si="116"/>
        <v>0</v>
      </c>
      <c r="N512" s="2732">
        <f t="shared" si="116"/>
        <v>0</v>
      </c>
      <c r="O512" s="2692">
        <f t="shared" si="116"/>
        <v>0</v>
      </c>
      <c r="P512" s="2692">
        <f t="shared" si="116"/>
        <v>0</v>
      </c>
      <c r="Q512" s="2692">
        <f t="shared" si="116"/>
        <v>0</v>
      </c>
      <c r="R512" s="2692">
        <f t="shared" si="116"/>
        <v>0</v>
      </c>
      <c r="S512" s="2692">
        <f t="shared" si="116"/>
        <v>0</v>
      </c>
      <c r="T512" s="2692">
        <f t="shared" si="116"/>
        <v>0</v>
      </c>
      <c r="U512" s="2729">
        <f t="shared" si="116"/>
        <v>800</v>
      </c>
    </row>
    <row r="513" spans="1:21" ht="21" x14ac:dyDescent="0.25">
      <c r="A513" s="1233"/>
      <c r="B513" s="1182" t="s">
        <v>454</v>
      </c>
      <c r="C513" s="1183"/>
      <c r="D513" s="409" t="s">
        <v>464</v>
      </c>
      <c r="E513" s="409" t="s">
        <v>463</v>
      </c>
      <c r="F513" s="409" t="s">
        <v>294</v>
      </c>
      <c r="G513" s="1662" t="s">
        <v>1</v>
      </c>
      <c r="H513" s="2729">
        <v>700</v>
      </c>
      <c r="I513" s="2730"/>
      <c r="J513" s="2731"/>
      <c r="K513" s="2692"/>
      <c r="L513" s="2692"/>
      <c r="M513" s="2692"/>
      <c r="N513" s="2732">
        <f>750-750</f>
        <v>0</v>
      </c>
      <c r="O513" s="2692"/>
      <c r="P513" s="2692"/>
      <c r="Q513" s="2692"/>
      <c r="R513" s="2692"/>
      <c r="S513" s="2692"/>
      <c r="T513" s="2692"/>
      <c r="U513" s="2729">
        <v>800</v>
      </c>
    </row>
    <row r="514" spans="1:21" ht="21" hidden="1" x14ac:dyDescent="0.25">
      <c r="A514" s="1233"/>
      <c r="B514" s="1393" t="s">
        <v>1057</v>
      </c>
      <c r="C514" s="1183"/>
      <c r="D514" s="409" t="s">
        <v>464</v>
      </c>
      <c r="E514" s="409" t="s">
        <v>463</v>
      </c>
      <c r="F514" s="409" t="s">
        <v>472</v>
      </c>
      <c r="G514" s="1662"/>
      <c r="H514" s="2729">
        <f>H515</f>
        <v>0</v>
      </c>
      <c r="I514" s="2730"/>
      <c r="J514" s="2731"/>
      <c r="K514" s="2692"/>
      <c r="L514" s="2692"/>
      <c r="M514" s="2692"/>
      <c r="N514" s="2732">
        <f>N515</f>
        <v>0</v>
      </c>
      <c r="O514" s="2692"/>
      <c r="P514" s="2692"/>
      <c r="Q514" s="2692"/>
      <c r="R514" s="2692"/>
      <c r="S514" s="2692"/>
      <c r="T514" s="2692"/>
      <c r="U514" s="2729">
        <f>U515</f>
        <v>0</v>
      </c>
    </row>
    <row r="515" spans="1:21" hidden="1" x14ac:dyDescent="0.25">
      <c r="A515" s="1233"/>
      <c r="B515" s="1393" t="s">
        <v>1058</v>
      </c>
      <c r="C515" s="1183"/>
      <c r="D515" s="409" t="s">
        <v>464</v>
      </c>
      <c r="E515" s="409" t="s">
        <v>463</v>
      </c>
      <c r="F515" s="409" t="s">
        <v>1056</v>
      </c>
      <c r="G515" s="1662"/>
      <c r="H515" s="2729">
        <f>H517</f>
        <v>0</v>
      </c>
      <c r="I515" s="2730"/>
      <c r="J515" s="2731"/>
      <c r="K515" s="2692"/>
      <c r="L515" s="2692"/>
      <c r="M515" s="2692"/>
      <c r="N515" s="2732">
        <f>N517</f>
        <v>0</v>
      </c>
      <c r="O515" s="2692"/>
      <c r="P515" s="2692"/>
      <c r="Q515" s="2692"/>
      <c r="R515" s="2692"/>
      <c r="S515" s="2692"/>
      <c r="T515" s="2692"/>
      <c r="U515" s="2729">
        <f>U517</f>
        <v>0</v>
      </c>
    </row>
    <row r="516" spans="1:21" hidden="1" x14ac:dyDescent="0.25">
      <c r="A516" s="1233"/>
      <c r="B516" s="1393" t="s">
        <v>1061</v>
      </c>
      <c r="C516" s="1183"/>
      <c r="D516" s="409" t="s">
        <v>464</v>
      </c>
      <c r="E516" s="409" t="s">
        <v>463</v>
      </c>
      <c r="F516" s="409" t="s">
        <v>1056</v>
      </c>
      <c r="G516" s="1662" t="s">
        <v>1060</v>
      </c>
      <c r="H516" s="2729">
        <f t="shared" ref="H516:U516" si="117">H517</f>
        <v>0</v>
      </c>
      <c r="I516" s="2730">
        <f t="shared" si="117"/>
        <v>0</v>
      </c>
      <c r="J516" s="2731">
        <f t="shared" si="117"/>
        <v>0</v>
      </c>
      <c r="K516" s="2692">
        <f t="shared" si="117"/>
        <v>0</v>
      </c>
      <c r="L516" s="2692">
        <f t="shared" si="117"/>
        <v>0</v>
      </c>
      <c r="M516" s="2692">
        <f t="shared" si="117"/>
        <v>0</v>
      </c>
      <c r="N516" s="2732">
        <f t="shared" si="117"/>
        <v>0</v>
      </c>
      <c r="O516" s="2692">
        <f t="shared" si="117"/>
        <v>0</v>
      </c>
      <c r="P516" s="2692">
        <f t="shared" si="117"/>
        <v>0</v>
      </c>
      <c r="Q516" s="2692">
        <f t="shared" si="117"/>
        <v>0</v>
      </c>
      <c r="R516" s="2692">
        <f t="shared" si="117"/>
        <v>0</v>
      </c>
      <c r="S516" s="2692">
        <f t="shared" si="117"/>
        <v>0</v>
      </c>
      <c r="T516" s="2692">
        <f t="shared" si="117"/>
        <v>0</v>
      </c>
      <c r="U516" s="2729">
        <f t="shared" si="117"/>
        <v>0</v>
      </c>
    </row>
    <row r="517" spans="1:21" hidden="1" x14ac:dyDescent="0.25">
      <c r="A517" s="1233"/>
      <c r="B517" s="1408" t="s">
        <v>28</v>
      </c>
      <c r="C517" s="1183"/>
      <c r="D517" s="409" t="s">
        <v>464</v>
      </c>
      <c r="E517" s="409" t="s">
        <v>463</v>
      </c>
      <c r="F517" s="409" t="s">
        <v>1056</v>
      </c>
      <c r="G517" s="1662" t="s">
        <v>26</v>
      </c>
      <c r="H517" s="2729">
        <f>1000-295-705</f>
        <v>0</v>
      </c>
      <c r="I517" s="2730"/>
      <c r="J517" s="2731"/>
      <c r="K517" s="2692"/>
      <c r="L517" s="2692"/>
      <c r="M517" s="2692"/>
      <c r="N517" s="2732">
        <f>1000-307-693</f>
        <v>0</v>
      </c>
      <c r="O517" s="2692"/>
      <c r="P517" s="2692"/>
      <c r="Q517" s="2692"/>
      <c r="R517" s="2692"/>
      <c r="S517" s="2692"/>
      <c r="T517" s="2692"/>
      <c r="U517" s="2729">
        <f>1000-320-680</f>
        <v>0</v>
      </c>
    </row>
    <row r="518" spans="1:21" hidden="1" x14ac:dyDescent="0.25">
      <c r="A518" s="1233"/>
      <c r="B518" s="1393" t="s">
        <v>64</v>
      </c>
      <c r="C518" s="1183"/>
      <c r="D518" s="409" t="s">
        <v>464</v>
      </c>
      <c r="E518" s="409" t="s">
        <v>463</v>
      </c>
      <c r="F518" s="409" t="s">
        <v>1056</v>
      </c>
      <c r="G518" s="1662"/>
      <c r="H518" s="2729"/>
      <c r="I518" s="2730"/>
      <c r="J518" s="2731"/>
      <c r="K518" s="2692"/>
      <c r="L518" s="2692"/>
      <c r="M518" s="2692"/>
      <c r="N518" s="2732"/>
      <c r="O518" s="2692"/>
      <c r="P518" s="2692"/>
      <c r="Q518" s="2692"/>
      <c r="R518" s="2692"/>
      <c r="S518" s="2692"/>
      <c r="T518" s="2692"/>
      <c r="U518" s="2729"/>
    </row>
    <row r="519" spans="1:21" x14ac:dyDescent="0.25">
      <c r="A519" s="1233"/>
      <c r="B519" s="1255" t="s">
        <v>934</v>
      </c>
      <c r="C519" s="1183"/>
      <c r="D519" s="408" t="s">
        <v>534</v>
      </c>
      <c r="E519" s="409"/>
      <c r="F519" s="409"/>
      <c r="G519" s="1662"/>
      <c r="H519" s="2733">
        <f>H520</f>
        <v>900</v>
      </c>
      <c r="I519" s="2730"/>
      <c r="J519" s="2731"/>
      <c r="K519" s="2702">
        <v>1200</v>
      </c>
      <c r="L519" s="2692"/>
      <c r="M519" s="2692"/>
      <c r="N519" s="2737">
        <f>N520</f>
        <v>963</v>
      </c>
      <c r="O519" s="2692"/>
      <c r="P519" s="2692"/>
      <c r="Q519" s="2692"/>
      <c r="R519" s="2692"/>
      <c r="S519" s="2692"/>
      <c r="T519" s="2692"/>
      <c r="U519" s="2733">
        <f>U520</f>
        <v>1030.4100000000001</v>
      </c>
    </row>
    <row r="520" spans="1:21" x14ac:dyDescent="0.25">
      <c r="A520" s="1233"/>
      <c r="B520" s="752" t="s">
        <v>920</v>
      </c>
      <c r="C520" s="1183"/>
      <c r="D520" s="408" t="s">
        <v>534</v>
      </c>
      <c r="E520" s="408" t="s">
        <v>488</v>
      </c>
      <c r="F520" s="408"/>
      <c r="G520" s="1662"/>
      <c r="H520" s="2733">
        <f>H521</f>
        <v>900</v>
      </c>
      <c r="I520" s="2730"/>
      <c r="J520" s="2731"/>
      <c r="K520" s="2692"/>
      <c r="L520" s="2692"/>
      <c r="M520" s="2692"/>
      <c r="N520" s="2737">
        <f>N521</f>
        <v>963</v>
      </c>
      <c r="O520" s="2692"/>
      <c r="P520" s="2692"/>
      <c r="Q520" s="2692"/>
      <c r="R520" s="2692"/>
      <c r="S520" s="2692"/>
      <c r="T520" s="2692"/>
      <c r="U520" s="2733">
        <f>U521</f>
        <v>1030.4100000000001</v>
      </c>
    </row>
    <row r="521" spans="1:21" x14ac:dyDescent="0.25">
      <c r="A521" s="305"/>
      <c r="B521" s="753" t="s">
        <v>109</v>
      </c>
      <c r="C521" s="1183"/>
      <c r="D521" s="409" t="s">
        <v>534</v>
      </c>
      <c r="E521" s="409" t="s">
        <v>488</v>
      </c>
      <c r="F521" s="409" t="s">
        <v>84</v>
      </c>
      <c r="G521" s="1662"/>
      <c r="H521" s="2729">
        <f>H522</f>
        <v>900</v>
      </c>
      <c r="I521" s="2730"/>
      <c r="J521" s="2731"/>
      <c r="K521" s="2692"/>
      <c r="L521" s="2692"/>
      <c r="M521" s="2692"/>
      <c r="N521" s="2732">
        <f>N522</f>
        <v>963</v>
      </c>
      <c r="O521" s="2692"/>
      <c r="P521" s="2692"/>
      <c r="Q521" s="2692"/>
      <c r="R521" s="2692"/>
      <c r="S521" s="2692"/>
      <c r="T521" s="2692"/>
      <c r="U521" s="2729">
        <f>U522</f>
        <v>1030.4100000000001</v>
      </c>
    </row>
    <row r="522" spans="1:21" x14ac:dyDescent="0.25">
      <c r="A522" s="273"/>
      <c r="B522" s="753" t="s">
        <v>109</v>
      </c>
      <c r="C522" s="1180"/>
      <c r="D522" s="409" t="s">
        <v>534</v>
      </c>
      <c r="E522" s="409" t="s">
        <v>488</v>
      </c>
      <c r="F522" s="409" t="s">
        <v>82</v>
      </c>
      <c r="G522" s="1662"/>
      <c r="H522" s="2729">
        <f>H523</f>
        <v>900</v>
      </c>
      <c r="I522" s="2730">
        <f>I523</f>
        <v>0</v>
      </c>
      <c r="J522" s="2731">
        <f>J523</f>
        <v>0</v>
      </c>
      <c r="K522" s="2692"/>
      <c r="L522" s="2692"/>
      <c r="M522" s="2692"/>
      <c r="N522" s="2732">
        <f>N523</f>
        <v>963</v>
      </c>
      <c r="O522" s="2692"/>
      <c r="P522" s="2692"/>
      <c r="Q522" s="2692"/>
      <c r="R522" s="2692"/>
      <c r="S522" s="2692"/>
      <c r="T522" s="2692"/>
      <c r="U522" s="2729">
        <f>U523</f>
        <v>1030.4100000000001</v>
      </c>
    </row>
    <row r="523" spans="1:21" ht="21" x14ac:dyDescent="0.25">
      <c r="A523" s="305"/>
      <c r="B523" s="1205" t="s">
        <v>918</v>
      </c>
      <c r="C523" s="1180"/>
      <c r="D523" s="409" t="s">
        <v>534</v>
      </c>
      <c r="E523" s="409" t="s">
        <v>488</v>
      </c>
      <c r="F523" s="409" t="s">
        <v>919</v>
      </c>
      <c r="G523" s="1662"/>
      <c r="H523" s="2729">
        <f>H525</f>
        <v>900</v>
      </c>
      <c r="I523" s="2730">
        <f>I525</f>
        <v>0</v>
      </c>
      <c r="J523" s="2731">
        <f>J525</f>
        <v>0</v>
      </c>
      <c r="K523" s="2692"/>
      <c r="L523" s="2692"/>
      <c r="M523" s="2692"/>
      <c r="N523" s="2732">
        <f>N525</f>
        <v>963</v>
      </c>
      <c r="O523" s="2692"/>
      <c r="P523" s="2692"/>
      <c r="Q523" s="2692"/>
      <c r="R523" s="2692"/>
      <c r="S523" s="2692"/>
      <c r="T523" s="2692"/>
      <c r="U523" s="2729">
        <f>U525</f>
        <v>1030.4100000000001</v>
      </c>
    </row>
    <row r="524" spans="1:21" x14ac:dyDescent="0.25">
      <c r="A524" s="304"/>
      <c r="B524" s="1256" t="s">
        <v>921</v>
      </c>
      <c r="C524" s="1257"/>
      <c r="D524" s="409" t="s">
        <v>534</v>
      </c>
      <c r="E524" s="409" t="s">
        <v>488</v>
      </c>
      <c r="F524" s="409" t="s">
        <v>919</v>
      </c>
      <c r="G524" s="1663" t="s">
        <v>955</v>
      </c>
      <c r="H524" s="2768">
        <f>H525</f>
        <v>900</v>
      </c>
      <c r="I524" s="2730"/>
      <c r="J524" s="2731"/>
      <c r="K524" s="2692"/>
      <c r="L524" s="2692"/>
      <c r="M524" s="2692"/>
      <c r="N524" s="2769">
        <f>N525</f>
        <v>963</v>
      </c>
      <c r="O524" s="2692"/>
      <c r="P524" s="2692"/>
      <c r="Q524" s="2692"/>
      <c r="R524" s="2692"/>
      <c r="S524" s="2692"/>
      <c r="T524" s="2692"/>
      <c r="U524" s="2768">
        <f>U525</f>
        <v>1030.4100000000001</v>
      </c>
    </row>
    <row r="525" spans="1:21" ht="21.5" thickBot="1" x14ac:dyDescent="0.3">
      <c r="A525" s="778"/>
      <c r="B525" s="1259" t="s">
        <v>454</v>
      </c>
      <c r="C525" s="1260"/>
      <c r="D525" s="2154" t="s">
        <v>534</v>
      </c>
      <c r="E525" s="2154" t="s">
        <v>488</v>
      </c>
      <c r="F525" s="2154" t="s">
        <v>919</v>
      </c>
      <c r="G525" s="1672" t="s">
        <v>1</v>
      </c>
      <c r="H525" s="2770">
        <v>900</v>
      </c>
      <c r="I525" s="2730"/>
      <c r="J525" s="2731"/>
      <c r="K525" s="2692"/>
      <c r="L525" s="2692"/>
      <c r="M525" s="2692"/>
      <c r="N525" s="2771">
        <v>963</v>
      </c>
      <c r="O525" s="2692"/>
      <c r="P525" s="2692"/>
      <c r="Q525" s="2692"/>
      <c r="R525" s="2692"/>
      <c r="S525" s="2692"/>
      <c r="T525" s="2692"/>
      <c r="U525" s="2770">
        <v>1030.4100000000001</v>
      </c>
    </row>
    <row r="526" spans="1:21" ht="34.5" hidden="1" customHeight="1" x14ac:dyDescent="0.25">
      <c r="A526" s="291"/>
      <c r="B526" s="290" t="s">
        <v>469</v>
      </c>
      <c r="C526" s="289"/>
      <c r="D526" s="288" t="s">
        <v>464</v>
      </c>
      <c r="E526" s="288" t="s">
        <v>463</v>
      </c>
      <c r="F526" s="288" t="s">
        <v>468</v>
      </c>
      <c r="G526" s="2158"/>
      <c r="H526" s="2772">
        <f t="shared" ref="H526:J528" si="118">H527</f>
        <v>0</v>
      </c>
      <c r="I526" s="2734">
        <f t="shared" si="118"/>
        <v>0</v>
      </c>
      <c r="J526" s="2735">
        <f t="shared" si="118"/>
        <v>0</v>
      </c>
      <c r="K526" s="2692"/>
      <c r="L526" s="2692"/>
      <c r="M526" s="2692"/>
      <c r="N526" s="2773">
        <f t="shared" ref="N526:N528" si="119">N527</f>
        <v>0</v>
      </c>
      <c r="O526" s="2692"/>
      <c r="P526" s="2692"/>
      <c r="Q526" s="2692"/>
      <c r="R526" s="2692"/>
      <c r="S526" s="2692"/>
      <c r="T526" s="2692"/>
      <c r="U526" s="2772">
        <f t="shared" ref="U526:U528" si="120">U527</f>
        <v>0</v>
      </c>
    </row>
    <row r="527" spans="1:21" ht="13" hidden="1" thickBot="1" x14ac:dyDescent="0.3">
      <c r="A527" s="273"/>
      <c r="B527" s="285" t="s">
        <v>467</v>
      </c>
      <c r="C527" s="272"/>
      <c r="D527" s="271" t="s">
        <v>464</v>
      </c>
      <c r="E527" s="271" t="s">
        <v>463</v>
      </c>
      <c r="F527" s="271" t="s">
        <v>466</v>
      </c>
      <c r="G527" s="2159"/>
      <c r="H527" s="2774">
        <f t="shared" si="118"/>
        <v>0</v>
      </c>
      <c r="I527" s="2730">
        <f t="shared" si="118"/>
        <v>0</v>
      </c>
      <c r="J527" s="2731">
        <f t="shared" si="118"/>
        <v>0</v>
      </c>
      <c r="K527" s="2692"/>
      <c r="L527" s="2692"/>
      <c r="M527" s="2692"/>
      <c r="N527" s="2775">
        <f t="shared" si="119"/>
        <v>0</v>
      </c>
      <c r="O527" s="2692"/>
      <c r="P527" s="2692"/>
      <c r="Q527" s="2692"/>
      <c r="R527" s="2692"/>
      <c r="S527" s="2692"/>
      <c r="T527" s="2692"/>
      <c r="U527" s="2774">
        <f t="shared" si="120"/>
        <v>0</v>
      </c>
    </row>
    <row r="528" spans="1:21" ht="13" hidden="1" thickBot="1" x14ac:dyDescent="0.3">
      <c r="A528" s="305"/>
      <c r="B528" s="285" t="s">
        <v>465</v>
      </c>
      <c r="C528" s="272"/>
      <c r="D528" s="271" t="s">
        <v>464</v>
      </c>
      <c r="E528" s="271" t="s">
        <v>463</v>
      </c>
      <c r="F528" s="271" t="s">
        <v>462</v>
      </c>
      <c r="G528" s="2159"/>
      <c r="H528" s="2774">
        <f t="shared" si="118"/>
        <v>0</v>
      </c>
      <c r="I528" s="2730">
        <f t="shared" si="118"/>
        <v>0</v>
      </c>
      <c r="J528" s="2731">
        <f t="shared" si="118"/>
        <v>0</v>
      </c>
      <c r="K528" s="2692"/>
      <c r="L528" s="2692"/>
      <c r="M528" s="2692"/>
      <c r="N528" s="2775">
        <f t="shared" si="119"/>
        <v>0</v>
      </c>
      <c r="O528" s="2692"/>
      <c r="P528" s="2692"/>
      <c r="Q528" s="2692"/>
      <c r="R528" s="2692"/>
      <c r="S528" s="2692"/>
      <c r="T528" s="2692"/>
      <c r="U528" s="2774">
        <f t="shared" si="120"/>
        <v>0</v>
      </c>
    </row>
    <row r="529" spans="1:21" ht="20.5" hidden="1" thickBot="1" x14ac:dyDescent="0.3">
      <c r="A529" s="304"/>
      <c r="B529" s="303" t="s">
        <v>454</v>
      </c>
      <c r="C529" s="302"/>
      <c r="D529" s="301" t="s">
        <v>464</v>
      </c>
      <c r="E529" s="301" t="s">
        <v>463</v>
      </c>
      <c r="F529" s="301" t="s">
        <v>462</v>
      </c>
      <c r="G529" s="2160" t="s">
        <v>1</v>
      </c>
      <c r="H529" s="2776"/>
      <c r="I529" s="2777"/>
      <c r="J529" s="2778"/>
      <c r="K529" s="2692"/>
      <c r="L529" s="2692"/>
      <c r="M529" s="2692"/>
      <c r="N529" s="2779"/>
      <c r="O529" s="2692"/>
      <c r="P529" s="2692"/>
      <c r="Q529" s="2692"/>
      <c r="R529" s="2692"/>
      <c r="S529" s="2692"/>
      <c r="T529" s="2692"/>
      <c r="U529" s="2776"/>
    </row>
    <row r="530" spans="1:21" ht="13" hidden="1" thickBot="1" x14ac:dyDescent="0.3">
      <c r="A530" s="437"/>
      <c r="B530" s="438"/>
      <c r="C530" s="439"/>
      <c r="D530" s="440"/>
      <c r="E530" s="440"/>
      <c r="F530" s="440"/>
      <c r="G530" s="2161"/>
      <c r="H530" s="2780"/>
      <c r="I530" s="2781"/>
      <c r="J530" s="2782"/>
      <c r="K530" s="2692"/>
      <c r="L530" s="2692"/>
      <c r="M530" s="2692"/>
      <c r="N530" s="2783"/>
      <c r="O530" s="2692"/>
      <c r="P530" s="2692"/>
      <c r="Q530" s="2692"/>
      <c r="R530" s="2692"/>
      <c r="S530" s="2692"/>
      <c r="T530" s="2692"/>
      <c r="U530" s="2780"/>
    </row>
    <row r="531" spans="1:21" ht="13" hidden="1" thickBot="1" x14ac:dyDescent="0.3">
      <c r="A531" s="298">
        <v>3</v>
      </c>
      <c r="B531" s="297" t="s">
        <v>461</v>
      </c>
      <c r="C531" s="296" t="s">
        <v>430</v>
      </c>
      <c r="D531" s="295"/>
      <c r="E531" s="295"/>
      <c r="F531" s="295"/>
      <c r="G531" s="2162"/>
      <c r="H531" s="2784">
        <f>H532</f>
        <v>13072.523999999999</v>
      </c>
      <c r="I531" s="2695">
        <f>I532</f>
        <v>8212.5999999999985</v>
      </c>
      <c r="J531" s="2696">
        <f>J532</f>
        <v>8263</v>
      </c>
      <c r="K531" s="2692"/>
      <c r="L531" s="2692"/>
      <c r="M531" s="2692"/>
      <c r="N531" s="2785">
        <f>N532</f>
        <v>12991.418</v>
      </c>
      <c r="O531" s="2692"/>
      <c r="P531" s="2692"/>
      <c r="Q531" s="2692"/>
      <c r="R531" s="2692"/>
      <c r="S531" s="2692"/>
      <c r="T531" s="2692"/>
      <c r="U531" s="2784">
        <f>U532</f>
        <v>13668.074000000001</v>
      </c>
    </row>
    <row r="532" spans="1:21" ht="13" hidden="1" thickBot="1" x14ac:dyDescent="0.3">
      <c r="A532" s="291"/>
      <c r="B532" s="290" t="s">
        <v>460</v>
      </c>
      <c r="C532" s="289"/>
      <c r="D532" s="288" t="s">
        <v>453</v>
      </c>
      <c r="E532" s="288" t="s">
        <v>459</v>
      </c>
      <c r="F532" s="288"/>
      <c r="G532" s="2158"/>
      <c r="H532" s="2772">
        <f>H533+H546+H541</f>
        <v>13072.523999999999</v>
      </c>
      <c r="I532" s="2700">
        <f>I533+I546</f>
        <v>8212.5999999999985</v>
      </c>
      <c r="J532" s="2786">
        <f>J533+J546</f>
        <v>8263</v>
      </c>
      <c r="K532" s="2692"/>
      <c r="L532" s="2692"/>
      <c r="M532" s="2692"/>
      <c r="N532" s="2773">
        <f>N533+N546+N541</f>
        <v>12991.418</v>
      </c>
      <c r="O532" s="2692"/>
      <c r="P532" s="2692"/>
      <c r="Q532" s="2692"/>
      <c r="R532" s="2692"/>
      <c r="S532" s="2692"/>
      <c r="T532" s="2692"/>
      <c r="U532" s="2772">
        <f>U533+U546+U541</f>
        <v>13668.074000000001</v>
      </c>
    </row>
    <row r="533" spans="1:21" ht="13" hidden="1" thickBot="1" x14ac:dyDescent="0.3">
      <c r="A533" s="273"/>
      <c r="B533" s="282" t="s">
        <v>87</v>
      </c>
      <c r="C533" s="279"/>
      <c r="D533" s="278" t="s">
        <v>453</v>
      </c>
      <c r="E533" s="278" t="s">
        <v>456</v>
      </c>
      <c r="F533" s="278"/>
      <c r="G533" s="2163"/>
      <c r="H533" s="2787">
        <f t="shared" ref="H533:J536" si="121">H534</f>
        <v>7296.08</v>
      </c>
      <c r="I533" s="2734">
        <f t="shared" si="121"/>
        <v>6962.0999999999995</v>
      </c>
      <c r="J533" s="2735">
        <f t="shared" si="121"/>
        <v>6915</v>
      </c>
      <c r="K533" s="2692"/>
      <c r="L533" s="2692"/>
      <c r="M533" s="2692"/>
      <c r="N533" s="2788">
        <f t="shared" ref="N533:N536" si="122">N534</f>
        <v>7296.08</v>
      </c>
      <c r="O533" s="2692"/>
      <c r="P533" s="2692"/>
      <c r="Q533" s="2692"/>
      <c r="R533" s="2692"/>
      <c r="S533" s="2692"/>
      <c r="T533" s="2692"/>
      <c r="U533" s="2787">
        <f t="shared" ref="U533:U536" si="123">U534</f>
        <v>7296.08</v>
      </c>
    </row>
    <row r="534" spans="1:21" ht="32" hidden="1" thickBot="1" x14ac:dyDescent="0.3">
      <c r="A534" s="281"/>
      <c r="B534" s="307" t="s">
        <v>621</v>
      </c>
      <c r="C534" s="279"/>
      <c r="D534" s="278" t="s">
        <v>453</v>
      </c>
      <c r="E534" s="278" t="s">
        <v>456</v>
      </c>
      <c r="F534" s="278" t="s">
        <v>273</v>
      </c>
      <c r="G534" s="2163"/>
      <c r="H534" s="2787">
        <f t="shared" si="121"/>
        <v>7296.08</v>
      </c>
      <c r="I534" s="2734">
        <f t="shared" si="121"/>
        <v>6962.0999999999995</v>
      </c>
      <c r="J534" s="2735">
        <f t="shared" si="121"/>
        <v>6915</v>
      </c>
      <c r="K534" s="2692"/>
      <c r="L534" s="2692"/>
      <c r="M534" s="2692"/>
      <c r="N534" s="2788">
        <f t="shared" si="122"/>
        <v>7296.08</v>
      </c>
      <c r="O534" s="2692"/>
      <c r="P534" s="2692"/>
      <c r="Q534" s="2692"/>
      <c r="R534" s="2692"/>
      <c r="S534" s="2692"/>
      <c r="T534" s="2692"/>
      <c r="U534" s="2787">
        <f t="shared" si="123"/>
        <v>7296.08</v>
      </c>
    </row>
    <row r="535" spans="1:21" ht="30.5" hidden="1" thickBot="1" x14ac:dyDescent="0.3">
      <c r="A535" s="281"/>
      <c r="B535" s="310" t="s">
        <v>261</v>
      </c>
      <c r="C535" s="272"/>
      <c r="D535" s="271" t="s">
        <v>453</v>
      </c>
      <c r="E535" s="271" t="s">
        <v>456</v>
      </c>
      <c r="F535" s="271" t="s">
        <v>260</v>
      </c>
      <c r="G535" s="2159"/>
      <c r="H535" s="2774">
        <f t="shared" si="121"/>
        <v>7296.08</v>
      </c>
      <c r="I535" s="2730">
        <f t="shared" si="121"/>
        <v>6962.0999999999995</v>
      </c>
      <c r="J535" s="2731">
        <f t="shared" si="121"/>
        <v>6915</v>
      </c>
      <c r="K535" s="2692"/>
      <c r="L535" s="2692"/>
      <c r="M535" s="2692"/>
      <c r="N535" s="2775">
        <f t="shared" si="122"/>
        <v>7296.08</v>
      </c>
      <c r="O535" s="2692"/>
      <c r="P535" s="2692"/>
      <c r="Q535" s="2692"/>
      <c r="R535" s="2692"/>
      <c r="S535" s="2692"/>
      <c r="T535" s="2692"/>
      <c r="U535" s="2774">
        <f t="shared" si="123"/>
        <v>7296.08</v>
      </c>
    </row>
    <row r="536" spans="1:21" ht="13" hidden="1" thickBot="1" x14ac:dyDescent="0.3">
      <c r="A536" s="281"/>
      <c r="B536" s="274" t="s">
        <v>259</v>
      </c>
      <c r="C536" s="272"/>
      <c r="D536" s="271" t="s">
        <v>453</v>
      </c>
      <c r="E536" s="271" t="s">
        <v>456</v>
      </c>
      <c r="F536" s="271" t="s">
        <v>258</v>
      </c>
      <c r="G536" s="2159"/>
      <c r="H536" s="2774">
        <f t="shared" si="121"/>
        <v>7296.08</v>
      </c>
      <c r="I536" s="2730">
        <f t="shared" si="121"/>
        <v>6962.0999999999995</v>
      </c>
      <c r="J536" s="2731">
        <f t="shared" si="121"/>
        <v>6915</v>
      </c>
      <c r="K536" s="2692"/>
      <c r="L536" s="2692"/>
      <c r="M536" s="2692"/>
      <c r="N536" s="2775">
        <f t="shared" si="122"/>
        <v>7296.08</v>
      </c>
      <c r="O536" s="2692"/>
      <c r="P536" s="2692"/>
      <c r="Q536" s="2692"/>
      <c r="R536" s="2692"/>
      <c r="S536" s="2692"/>
      <c r="T536" s="2692"/>
      <c r="U536" s="2774">
        <f t="shared" si="123"/>
        <v>7296.08</v>
      </c>
    </row>
    <row r="537" spans="1:21" ht="13" hidden="1" thickBot="1" x14ac:dyDescent="0.3">
      <c r="A537" s="281"/>
      <c r="B537" s="285" t="s">
        <v>351</v>
      </c>
      <c r="C537" s="272"/>
      <c r="D537" s="271" t="s">
        <v>453</v>
      </c>
      <c r="E537" s="271" t="s">
        <v>456</v>
      </c>
      <c r="F537" s="271" t="s">
        <v>254</v>
      </c>
      <c r="G537" s="2159"/>
      <c r="H537" s="2774">
        <f>H538+H539+H540</f>
        <v>7296.08</v>
      </c>
      <c r="I537" s="2730">
        <f>I538+I539+I540</f>
        <v>6962.0999999999995</v>
      </c>
      <c r="J537" s="2731">
        <f>J538+J539+J540</f>
        <v>6915</v>
      </c>
      <c r="K537" s="2692"/>
      <c r="L537" s="2692"/>
      <c r="M537" s="2692"/>
      <c r="N537" s="2775">
        <f>N538+N539+N540</f>
        <v>7296.08</v>
      </c>
      <c r="O537" s="2692"/>
      <c r="P537" s="2692"/>
      <c r="Q537" s="2692"/>
      <c r="R537" s="2692"/>
      <c r="S537" s="2692"/>
      <c r="T537" s="2692"/>
      <c r="U537" s="2774">
        <f>U538+U539+U540</f>
        <v>7296.08</v>
      </c>
    </row>
    <row r="538" spans="1:21" ht="13" hidden="1" thickBot="1" x14ac:dyDescent="0.3">
      <c r="A538" s="273"/>
      <c r="B538" s="284" t="s">
        <v>458</v>
      </c>
      <c r="C538" s="283"/>
      <c r="D538" s="271" t="s">
        <v>453</v>
      </c>
      <c r="E538" s="271" t="s">
        <v>456</v>
      </c>
      <c r="F538" s="271" t="s">
        <v>254</v>
      </c>
      <c r="G538" s="2159" t="s">
        <v>255</v>
      </c>
      <c r="H538" s="2774">
        <f>4510.863-660.6</f>
        <v>3850.2630000000004</v>
      </c>
      <c r="I538" s="2730">
        <v>4886.9669999999996</v>
      </c>
      <c r="J538" s="2731">
        <v>5375.0079999999998</v>
      </c>
      <c r="K538" s="2692"/>
      <c r="L538" s="2692"/>
      <c r="M538" s="2692"/>
      <c r="N538" s="2775">
        <f>4510.863-660.6</f>
        <v>3850.2630000000004</v>
      </c>
      <c r="O538" s="2692"/>
      <c r="P538" s="2692"/>
      <c r="Q538" s="2692"/>
      <c r="R538" s="2692"/>
      <c r="S538" s="2692"/>
      <c r="T538" s="2692"/>
      <c r="U538" s="2774">
        <f>4510.863-660.6</f>
        <v>3850.2630000000004</v>
      </c>
    </row>
    <row r="539" spans="1:21" ht="20.5" hidden="1" thickBot="1" x14ac:dyDescent="0.3">
      <c r="A539" s="273"/>
      <c r="B539" s="284" t="s">
        <v>454</v>
      </c>
      <c r="C539" s="283"/>
      <c r="D539" s="271" t="s">
        <v>453</v>
      </c>
      <c r="E539" s="271" t="s">
        <v>456</v>
      </c>
      <c r="F539" s="271" t="s">
        <v>254</v>
      </c>
      <c r="G539" s="2159" t="s">
        <v>1</v>
      </c>
      <c r="H539" s="2774">
        <f>1564.263+1880.841</f>
        <v>3445.1039999999998</v>
      </c>
      <c r="I539" s="2730">
        <v>2074.1329999999998</v>
      </c>
      <c r="J539" s="2731">
        <v>1538.992</v>
      </c>
      <c r="K539" s="2692"/>
      <c r="L539" s="2692"/>
      <c r="M539" s="2692"/>
      <c r="N539" s="2775">
        <f>1564.263+1880.841</f>
        <v>3445.1039999999998</v>
      </c>
      <c r="O539" s="2692"/>
      <c r="P539" s="2692"/>
      <c r="Q539" s="2692"/>
      <c r="R539" s="2692"/>
      <c r="S539" s="2692"/>
      <c r="T539" s="2692"/>
      <c r="U539" s="2774">
        <f>1564.263+1880.841</f>
        <v>3445.1039999999998</v>
      </c>
    </row>
    <row r="540" spans="1:21" ht="13" hidden="1" thickBot="1" x14ac:dyDescent="0.3">
      <c r="A540" s="273"/>
      <c r="B540" s="284" t="s">
        <v>457</v>
      </c>
      <c r="C540" s="283"/>
      <c r="D540" s="271" t="s">
        <v>453</v>
      </c>
      <c r="E540" s="271" t="s">
        <v>456</v>
      </c>
      <c r="F540" s="271" t="s">
        <v>254</v>
      </c>
      <c r="G540" s="2159" t="s">
        <v>91</v>
      </c>
      <c r="H540" s="2774">
        <v>0.71299999999999997</v>
      </c>
      <c r="I540" s="2730">
        <v>1</v>
      </c>
      <c r="J540" s="2731">
        <v>1</v>
      </c>
      <c r="K540" s="2692"/>
      <c r="L540" s="2692"/>
      <c r="M540" s="2692"/>
      <c r="N540" s="2775">
        <v>0.71299999999999997</v>
      </c>
      <c r="O540" s="2692"/>
      <c r="P540" s="2692"/>
      <c r="Q540" s="2692"/>
      <c r="R540" s="2692"/>
      <c r="S540" s="2692"/>
      <c r="T540" s="2692"/>
      <c r="U540" s="2774">
        <v>0.71299999999999997</v>
      </c>
    </row>
    <row r="541" spans="1:21" ht="21.5" hidden="1" thickBot="1" x14ac:dyDescent="0.3">
      <c r="A541" s="732"/>
      <c r="B541" s="752" t="s">
        <v>499</v>
      </c>
      <c r="C541" s="408"/>
      <c r="D541" s="408" t="s">
        <v>453</v>
      </c>
      <c r="E541" s="408" t="s">
        <v>456</v>
      </c>
      <c r="F541" s="408" t="s">
        <v>89</v>
      </c>
      <c r="G541" s="1662"/>
      <c r="H541" s="2733">
        <f>H542</f>
        <v>660.6</v>
      </c>
      <c r="I541" s="2730"/>
      <c r="J541" s="2731"/>
      <c r="K541" s="2692"/>
      <c r="L541" s="2692"/>
      <c r="M541" s="2692"/>
      <c r="N541" s="1269">
        <f>N542</f>
        <v>660.6</v>
      </c>
      <c r="O541" s="2692"/>
      <c r="P541" s="2692"/>
      <c r="Q541" s="2692"/>
      <c r="R541" s="2692"/>
      <c r="S541" s="2692"/>
      <c r="T541" s="2692"/>
      <c r="U541" s="2733">
        <f>U542</f>
        <v>660.6</v>
      </c>
    </row>
    <row r="542" spans="1:21" ht="13" hidden="1" thickBot="1" x14ac:dyDescent="0.3">
      <c r="A542" s="732"/>
      <c r="B542" s="753" t="s">
        <v>109</v>
      </c>
      <c r="C542" s="409"/>
      <c r="D542" s="409" t="s">
        <v>453</v>
      </c>
      <c r="E542" s="409" t="s">
        <v>456</v>
      </c>
      <c r="F542" s="409" t="s">
        <v>84</v>
      </c>
      <c r="G542" s="1662"/>
      <c r="H542" s="2729">
        <f>H543</f>
        <v>660.6</v>
      </c>
      <c r="I542" s="2730"/>
      <c r="J542" s="2731"/>
      <c r="K542" s="2692"/>
      <c r="L542" s="2692"/>
      <c r="M542" s="2692"/>
      <c r="N542" s="1270">
        <f>N543</f>
        <v>660.6</v>
      </c>
      <c r="O542" s="2692"/>
      <c r="P542" s="2692"/>
      <c r="Q542" s="2692"/>
      <c r="R542" s="2692"/>
      <c r="S542" s="2692"/>
      <c r="T542" s="2692"/>
      <c r="U542" s="2729">
        <f>U543</f>
        <v>660.6</v>
      </c>
    </row>
    <row r="543" spans="1:21" ht="13" hidden="1" thickBot="1" x14ac:dyDescent="0.3">
      <c r="A543" s="732"/>
      <c r="B543" s="753" t="s">
        <v>109</v>
      </c>
      <c r="C543" s="409"/>
      <c r="D543" s="409" t="s">
        <v>453</v>
      </c>
      <c r="E543" s="409" t="s">
        <v>456</v>
      </c>
      <c r="F543" s="409" t="s">
        <v>82</v>
      </c>
      <c r="G543" s="1662"/>
      <c r="H543" s="2729">
        <f>H544</f>
        <v>660.6</v>
      </c>
      <c r="I543" s="2730"/>
      <c r="J543" s="2731"/>
      <c r="K543" s="2692"/>
      <c r="L543" s="2692"/>
      <c r="M543" s="2692"/>
      <c r="N543" s="1270">
        <f>N544</f>
        <v>660.6</v>
      </c>
      <c r="O543" s="2692"/>
      <c r="P543" s="2692"/>
      <c r="Q543" s="2692"/>
      <c r="R543" s="2692"/>
      <c r="S543" s="2692"/>
      <c r="T543" s="2692"/>
      <c r="U543" s="2729">
        <f>U544</f>
        <v>660.6</v>
      </c>
    </row>
    <row r="544" spans="1:21" ht="13" hidden="1" thickBot="1" x14ac:dyDescent="0.3">
      <c r="A544" s="732"/>
      <c r="B544" s="1894" t="s">
        <v>830</v>
      </c>
      <c r="C544" s="409"/>
      <c r="D544" s="409" t="s">
        <v>453</v>
      </c>
      <c r="E544" s="409" t="s">
        <v>456</v>
      </c>
      <c r="F544" s="409" t="s">
        <v>831</v>
      </c>
      <c r="G544" s="1662"/>
      <c r="H544" s="2729">
        <f>H545</f>
        <v>660.6</v>
      </c>
      <c r="I544" s="2730"/>
      <c r="J544" s="2731"/>
      <c r="K544" s="2692"/>
      <c r="L544" s="2692"/>
      <c r="M544" s="2692"/>
      <c r="N544" s="1270">
        <f>N545</f>
        <v>660.6</v>
      </c>
      <c r="O544" s="2692"/>
      <c r="P544" s="2692"/>
      <c r="Q544" s="2692"/>
      <c r="R544" s="2692"/>
      <c r="S544" s="2692"/>
      <c r="T544" s="2692"/>
      <c r="U544" s="2729">
        <f>U545</f>
        <v>660.6</v>
      </c>
    </row>
    <row r="545" spans="1:21" ht="13.5" hidden="1" thickBot="1" x14ac:dyDescent="0.3">
      <c r="A545" s="732"/>
      <c r="B545" s="754" t="s">
        <v>256</v>
      </c>
      <c r="C545" s="409"/>
      <c r="D545" s="409" t="s">
        <v>453</v>
      </c>
      <c r="E545" s="409" t="s">
        <v>456</v>
      </c>
      <c r="F545" s="409" t="s">
        <v>831</v>
      </c>
      <c r="G545" s="1662" t="s">
        <v>255</v>
      </c>
      <c r="H545" s="2729">
        <v>660.6</v>
      </c>
      <c r="I545" s="2730"/>
      <c r="J545" s="2731"/>
      <c r="K545" s="2692"/>
      <c r="L545" s="2692"/>
      <c r="M545" s="2692"/>
      <c r="N545" s="1270">
        <v>660.6</v>
      </c>
      <c r="O545" s="2692"/>
      <c r="P545" s="2692"/>
      <c r="Q545" s="2692"/>
      <c r="R545" s="2692"/>
      <c r="S545" s="2692"/>
      <c r="T545" s="2692"/>
      <c r="U545" s="2729">
        <v>660.6</v>
      </c>
    </row>
    <row r="546" spans="1:21" ht="13" hidden="1" thickBot="1" x14ac:dyDescent="0.3">
      <c r="A546" s="751"/>
      <c r="B546" s="282" t="s">
        <v>244</v>
      </c>
      <c r="C546" s="279"/>
      <c r="D546" s="278" t="s">
        <v>453</v>
      </c>
      <c r="E546" s="278" t="s">
        <v>452</v>
      </c>
      <c r="F546" s="278"/>
      <c r="G546" s="2163"/>
      <c r="H546" s="2787">
        <f t="shared" ref="H546:J547" si="124">H547</f>
        <v>5115.8440000000001</v>
      </c>
      <c r="I546" s="2734">
        <f t="shared" si="124"/>
        <v>1250.5</v>
      </c>
      <c r="J546" s="2735">
        <f t="shared" si="124"/>
        <v>1348</v>
      </c>
      <c r="K546" s="2692"/>
      <c r="L546" s="2692"/>
      <c r="M546" s="2692"/>
      <c r="N546" s="2788">
        <f t="shared" ref="N546:N547" si="125">N547</f>
        <v>5034.7380000000003</v>
      </c>
      <c r="O546" s="2692"/>
      <c r="P546" s="2692"/>
      <c r="Q546" s="2692"/>
      <c r="R546" s="2692"/>
      <c r="S546" s="2692"/>
      <c r="T546" s="2692"/>
      <c r="U546" s="2787">
        <f t="shared" ref="U546:U547" si="126">U547</f>
        <v>5711.3940000000002</v>
      </c>
    </row>
    <row r="547" spans="1:21" ht="32" hidden="1" thickBot="1" x14ac:dyDescent="0.3">
      <c r="A547" s="281"/>
      <c r="B547" s="307" t="s">
        <v>621</v>
      </c>
      <c r="C547" s="279"/>
      <c r="D547" s="278" t="s">
        <v>453</v>
      </c>
      <c r="E547" s="278" t="s">
        <v>452</v>
      </c>
      <c r="F547" s="278" t="s">
        <v>273</v>
      </c>
      <c r="G547" s="2163"/>
      <c r="H547" s="2787">
        <f t="shared" si="124"/>
        <v>5115.8440000000001</v>
      </c>
      <c r="I547" s="2734">
        <f t="shared" si="124"/>
        <v>1250.5</v>
      </c>
      <c r="J547" s="2735">
        <f t="shared" si="124"/>
        <v>1348</v>
      </c>
      <c r="K547" s="2692"/>
      <c r="L547" s="2692"/>
      <c r="M547" s="2692"/>
      <c r="N547" s="2788">
        <f t="shared" si="125"/>
        <v>5034.7380000000003</v>
      </c>
      <c r="O547" s="2692"/>
      <c r="P547" s="2692"/>
      <c r="Q547" s="2692"/>
      <c r="R547" s="2692"/>
      <c r="S547" s="2692"/>
      <c r="T547" s="2692"/>
      <c r="U547" s="2787">
        <f t="shared" si="126"/>
        <v>5711.3940000000002</v>
      </c>
    </row>
    <row r="548" spans="1:21" ht="13" hidden="1" thickBot="1" x14ac:dyDescent="0.3">
      <c r="A548" s="273"/>
      <c r="B548" s="310" t="s">
        <v>836</v>
      </c>
      <c r="C548" s="272"/>
      <c r="D548" s="271" t="s">
        <v>453</v>
      </c>
      <c r="E548" s="271" t="s">
        <v>452</v>
      </c>
      <c r="F548" s="271" t="s">
        <v>251</v>
      </c>
      <c r="G548" s="2159"/>
      <c r="H548" s="2774">
        <f>H549+H552</f>
        <v>5115.8440000000001</v>
      </c>
      <c r="I548" s="2730">
        <f>I549+I552</f>
        <v>1250.5</v>
      </c>
      <c r="J548" s="2731">
        <f>J549+J552</f>
        <v>1348</v>
      </c>
      <c r="K548" s="2692"/>
      <c r="L548" s="2692"/>
      <c r="M548" s="2692"/>
      <c r="N548" s="2775">
        <f>N549+N552</f>
        <v>5034.7380000000003</v>
      </c>
      <c r="O548" s="2692"/>
      <c r="P548" s="2692"/>
      <c r="Q548" s="2692"/>
      <c r="R548" s="2692"/>
      <c r="S548" s="2692"/>
      <c r="T548" s="2692"/>
      <c r="U548" s="2774">
        <f>U549+U552</f>
        <v>5711.3940000000002</v>
      </c>
    </row>
    <row r="549" spans="1:21" ht="13" hidden="1" thickBot="1" x14ac:dyDescent="0.3">
      <c r="A549" s="273"/>
      <c r="B549" s="274" t="s">
        <v>250</v>
      </c>
      <c r="C549" s="272"/>
      <c r="D549" s="271" t="s">
        <v>453</v>
      </c>
      <c r="E549" s="271" t="s">
        <v>452</v>
      </c>
      <c r="F549" s="271" t="s">
        <v>249</v>
      </c>
      <c r="G549" s="2159"/>
      <c r="H549" s="2774">
        <f t="shared" ref="H549:J550" si="127">H550</f>
        <v>1650.46</v>
      </c>
      <c r="I549" s="2730">
        <f t="shared" si="127"/>
        <v>1250.5</v>
      </c>
      <c r="J549" s="2731">
        <f t="shared" si="127"/>
        <v>1348</v>
      </c>
      <c r="K549" s="2692"/>
      <c r="L549" s="2692"/>
      <c r="M549" s="2692"/>
      <c r="N549" s="2775">
        <f t="shared" ref="N549:N550" si="128">N550</f>
        <v>1650.46</v>
      </c>
      <c r="O549" s="2692"/>
      <c r="P549" s="2692"/>
      <c r="Q549" s="2692"/>
      <c r="R549" s="2692"/>
      <c r="S549" s="2692"/>
      <c r="T549" s="2692"/>
      <c r="U549" s="2774">
        <f t="shared" ref="U549:U550" si="129">U550</f>
        <v>1650.46</v>
      </c>
    </row>
    <row r="550" spans="1:21" ht="13.5" hidden="1" thickBot="1" x14ac:dyDescent="0.3">
      <c r="A550" s="273"/>
      <c r="B550" s="90" t="s">
        <v>248</v>
      </c>
      <c r="C550" s="272"/>
      <c r="D550" s="271" t="s">
        <v>453</v>
      </c>
      <c r="E550" s="271" t="s">
        <v>452</v>
      </c>
      <c r="F550" s="271" t="s">
        <v>243</v>
      </c>
      <c r="G550" s="2159"/>
      <c r="H550" s="2774">
        <f t="shared" si="127"/>
        <v>1650.46</v>
      </c>
      <c r="I550" s="2730">
        <f t="shared" si="127"/>
        <v>1250.5</v>
      </c>
      <c r="J550" s="2731">
        <f t="shared" si="127"/>
        <v>1348</v>
      </c>
      <c r="K550" s="2692"/>
      <c r="L550" s="2692"/>
      <c r="M550" s="2692"/>
      <c r="N550" s="2775">
        <f t="shared" si="128"/>
        <v>1650.46</v>
      </c>
      <c r="O550" s="2692"/>
      <c r="P550" s="2692"/>
      <c r="Q550" s="2692"/>
      <c r="R550" s="2692"/>
      <c r="S550" s="2692"/>
      <c r="T550" s="2692"/>
      <c r="U550" s="2774">
        <f t="shared" si="129"/>
        <v>1650.46</v>
      </c>
    </row>
    <row r="551" spans="1:21" ht="20.5" hidden="1" thickBot="1" x14ac:dyDescent="0.3">
      <c r="A551" s="2155"/>
      <c r="B551" s="303" t="s">
        <v>454</v>
      </c>
      <c r="C551" s="302"/>
      <c r="D551" s="301" t="s">
        <v>453</v>
      </c>
      <c r="E551" s="301" t="s">
        <v>452</v>
      </c>
      <c r="F551" s="301" t="s">
        <v>243</v>
      </c>
      <c r="G551" s="2160" t="s">
        <v>1</v>
      </c>
      <c r="H551" s="2776">
        <v>1650.46</v>
      </c>
      <c r="I551" s="2777">
        <v>1250.5</v>
      </c>
      <c r="J551" s="2778">
        <v>1348</v>
      </c>
      <c r="K551" s="2692"/>
      <c r="L551" s="2692"/>
      <c r="M551" s="2692"/>
      <c r="N551" s="2779">
        <v>1650.46</v>
      </c>
      <c r="O551" s="2692"/>
      <c r="P551" s="2692"/>
      <c r="Q551" s="2692"/>
      <c r="R551" s="2692"/>
      <c r="S551" s="2692"/>
      <c r="T551" s="2692"/>
      <c r="U551" s="2776">
        <v>1650.46</v>
      </c>
    </row>
    <row r="552" spans="1:21" ht="23.5" thickBot="1" x14ac:dyDescent="0.3">
      <c r="A552" s="1168">
        <v>2</v>
      </c>
      <c r="B552" s="1171" t="s">
        <v>1038</v>
      </c>
      <c r="C552" s="1161" t="s">
        <v>1039</v>
      </c>
      <c r="D552" s="1161"/>
      <c r="E552" s="1161"/>
      <c r="F552" s="1161"/>
      <c r="G552" s="1658"/>
      <c r="H552" s="2694">
        <f>H553</f>
        <v>3465.384</v>
      </c>
      <c r="I552" s="2695">
        <f>I553+I623+I649+I698+I772+I783+I822+I837+I615</f>
        <v>0</v>
      </c>
      <c r="J552" s="2698">
        <f>J553+J623+J649+J698+J772+J783+J822+J837+J615</f>
        <v>0</v>
      </c>
      <c r="K552" s="2789"/>
      <c r="L552" s="2789"/>
      <c r="M552" s="2789"/>
      <c r="N552" s="2697">
        <f>N553</f>
        <v>3384.2780000000002</v>
      </c>
      <c r="O552" s="2789"/>
      <c r="P552" s="2789"/>
      <c r="Q552" s="2789"/>
      <c r="R552" s="2789"/>
      <c r="S552" s="2789"/>
      <c r="T552" s="2789"/>
      <c r="U552" s="2694">
        <f>U553</f>
        <v>4060.9340000000002</v>
      </c>
    </row>
    <row r="553" spans="1:21" x14ac:dyDescent="0.25">
      <c r="A553" s="145"/>
      <c r="B553" s="1173" t="s">
        <v>431</v>
      </c>
      <c r="C553" s="1174"/>
      <c r="D553" s="1175" t="s">
        <v>456</v>
      </c>
      <c r="E553" s="1175" t="s">
        <v>459</v>
      </c>
      <c r="F553" s="1175"/>
      <c r="G553" s="1660"/>
      <c r="H553" s="2699">
        <f>H560+H567</f>
        <v>3465.384</v>
      </c>
      <c r="I553" s="2700">
        <f>I554+I567+I585</f>
        <v>0</v>
      </c>
      <c r="J553" s="2701">
        <f>J554+J567+J585</f>
        <v>0</v>
      </c>
      <c r="K553" s="2702">
        <f>K566+K573+K575+K579+K592+K593+K594+K596+K598+K604+K610+K622+K626+K627+K628+K629</f>
        <v>5</v>
      </c>
      <c r="L553" s="2692"/>
      <c r="M553" s="2692"/>
      <c r="N553" s="2703">
        <f>N560+N567</f>
        <v>3384.2780000000002</v>
      </c>
      <c r="O553" s="2692"/>
      <c r="P553" s="2692"/>
      <c r="Q553" s="2692"/>
      <c r="R553" s="2692"/>
      <c r="S553" s="2692"/>
      <c r="T553" s="2692"/>
      <c r="U553" s="2699">
        <f>U560+U567</f>
        <v>4060.9340000000002</v>
      </c>
    </row>
    <row r="554" spans="1:21" ht="21" hidden="1" x14ac:dyDescent="0.25">
      <c r="A554" s="32"/>
      <c r="B554" s="752" t="s">
        <v>600</v>
      </c>
      <c r="C554" s="1177"/>
      <c r="D554" s="408" t="s">
        <v>456</v>
      </c>
      <c r="E554" s="408" t="s">
        <v>488</v>
      </c>
      <c r="F554" s="408"/>
      <c r="G554" s="1661"/>
      <c r="H554" s="2704"/>
      <c r="I554" s="2705">
        <f t="shared" ref="I554:J558" si="130">I555</f>
        <v>0</v>
      </c>
      <c r="J554" s="2706">
        <f t="shared" si="130"/>
        <v>0</v>
      </c>
      <c r="K554" s="2692"/>
      <c r="L554" s="2692"/>
      <c r="M554" s="2692"/>
      <c r="N554" s="2707"/>
      <c r="O554" s="2692"/>
      <c r="P554" s="2692"/>
      <c r="Q554" s="2692"/>
      <c r="R554" s="2692"/>
      <c r="S554" s="2692"/>
      <c r="T554" s="2692"/>
      <c r="U554" s="2704"/>
    </row>
    <row r="555" spans="1:21" ht="21" hidden="1" x14ac:dyDescent="0.25">
      <c r="A555" s="32"/>
      <c r="B555" s="753" t="s">
        <v>599</v>
      </c>
      <c r="C555" s="1180"/>
      <c r="D555" s="409" t="s">
        <v>456</v>
      </c>
      <c r="E555" s="409" t="s">
        <v>488</v>
      </c>
      <c r="F555" s="409" t="s">
        <v>157</v>
      </c>
      <c r="G555" s="1662"/>
      <c r="H555" s="2708"/>
      <c r="I555" s="2709">
        <f t="shared" si="130"/>
        <v>0</v>
      </c>
      <c r="J555" s="2710">
        <f t="shared" si="130"/>
        <v>0</v>
      </c>
      <c r="K555" s="2692"/>
      <c r="L555" s="2692"/>
      <c r="M555" s="2692"/>
      <c r="N555" s="2711"/>
      <c r="O555" s="2692"/>
      <c r="P555" s="2692"/>
      <c r="Q555" s="2692"/>
      <c r="R555" s="2692"/>
      <c r="S555" s="2692"/>
      <c r="T555" s="2692"/>
      <c r="U555" s="2708"/>
    </row>
    <row r="556" spans="1:21" ht="21" hidden="1" x14ac:dyDescent="0.25">
      <c r="A556" s="32"/>
      <c r="B556" s="753" t="s">
        <v>596</v>
      </c>
      <c r="C556" s="1180"/>
      <c r="D556" s="409" t="s">
        <v>456</v>
      </c>
      <c r="E556" s="409" t="s">
        <v>488</v>
      </c>
      <c r="F556" s="409" t="s">
        <v>598</v>
      </c>
      <c r="G556" s="1662"/>
      <c r="H556" s="2708"/>
      <c r="I556" s="2709">
        <f t="shared" si="130"/>
        <v>0</v>
      </c>
      <c r="J556" s="2710">
        <f t="shared" si="130"/>
        <v>0</v>
      </c>
      <c r="K556" s="2692"/>
      <c r="L556" s="2692"/>
      <c r="M556" s="2692"/>
      <c r="N556" s="2711"/>
      <c r="O556" s="2692"/>
      <c r="P556" s="2692"/>
      <c r="Q556" s="2692"/>
      <c r="R556" s="2692"/>
      <c r="S556" s="2692"/>
      <c r="T556" s="2692"/>
      <c r="U556" s="2708"/>
    </row>
    <row r="557" spans="1:21" hidden="1" x14ac:dyDescent="0.25">
      <c r="A557" s="32"/>
      <c r="B557" s="753" t="s">
        <v>582</v>
      </c>
      <c r="C557" s="1180"/>
      <c r="D557" s="409" t="s">
        <v>595</v>
      </c>
      <c r="E557" s="409" t="s">
        <v>594</v>
      </c>
      <c r="F557" s="409" t="s">
        <v>597</v>
      </c>
      <c r="G557" s="1662"/>
      <c r="H557" s="2708"/>
      <c r="I557" s="2709">
        <f t="shared" si="130"/>
        <v>0</v>
      </c>
      <c r="J557" s="2710">
        <f t="shared" si="130"/>
        <v>0</v>
      </c>
      <c r="K557" s="2692"/>
      <c r="L557" s="2692"/>
      <c r="M557" s="2692"/>
      <c r="N557" s="2711"/>
      <c r="O557" s="2692"/>
      <c r="P557" s="2692"/>
      <c r="Q557" s="2692"/>
      <c r="R557" s="2692"/>
      <c r="S557" s="2692"/>
      <c r="T557" s="2692"/>
      <c r="U557" s="2708"/>
    </row>
    <row r="558" spans="1:21" ht="21" hidden="1" x14ac:dyDescent="0.25">
      <c r="A558" s="32"/>
      <c r="B558" s="753" t="s">
        <v>596</v>
      </c>
      <c r="C558" s="1180"/>
      <c r="D558" s="409" t="s">
        <v>595</v>
      </c>
      <c r="E558" s="409" t="s">
        <v>594</v>
      </c>
      <c r="F558" s="409" t="s">
        <v>593</v>
      </c>
      <c r="G558" s="1662"/>
      <c r="H558" s="2708"/>
      <c r="I558" s="2709">
        <f t="shared" si="130"/>
        <v>0</v>
      </c>
      <c r="J558" s="2710">
        <f t="shared" si="130"/>
        <v>0</v>
      </c>
      <c r="K558" s="2692"/>
      <c r="L558" s="2692"/>
      <c r="M558" s="2692"/>
      <c r="N558" s="2711"/>
      <c r="O558" s="2692"/>
      <c r="P558" s="2692"/>
      <c r="Q558" s="2692"/>
      <c r="R558" s="2692"/>
      <c r="S558" s="2692"/>
      <c r="T558" s="2692"/>
      <c r="U558" s="2708"/>
    </row>
    <row r="559" spans="1:21" hidden="1" x14ac:dyDescent="0.25">
      <c r="A559" s="32"/>
      <c r="B559" s="1182" t="s">
        <v>571</v>
      </c>
      <c r="C559" s="1183"/>
      <c r="D559" s="409" t="s">
        <v>456</v>
      </c>
      <c r="E559" s="409" t="s">
        <v>488</v>
      </c>
      <c r="F559" s="409" t="s">
        <v>593</v>
      </c>
      <c r="G559" s="1662" t="s">
        <v>5</v>
      </c>
      <c r="H559" s="2708"/>
      <c r="I559" s="2709"/>
      <c r="J559" s="2710"/>
      <c r="K559" s="2692"/>
      <c r="L559" s="2692"/>
      <c r="M559" s="2692"/>
      <c r="N559" s="2711"/>
      <c r="O559" s="2692"/>
      <c r="P559" s="2692"/>
      <c r="Q559" s="2692"/>
      <c r="R559" s="2692"/>
      <c r="S559" s="2692"/>
      <c r="T559" s="2692"/>
      <c r="U559" s="2708"/>
    </row>
    <row r="560" spans="1:21" ht="23" x14ac:dyDescent="0.25">
      <c r="A560" s="32"/>
      <c r="B560" s="1184" t="s">
        <v>600</v>
      </c>
      <c r="C560" s="1183"/>
      <c r="D560" s="408" t="s">
        <v>456</v>
      </c>
      <c r="E560" s="408" t="s">
        <v>488</v>
      </c>
      <c r="F560" s="409"/>
      <c r="G560" s="1662"/>
      <c r="H560" s="2704">
        <f>H561</f>
        <v>1785.268</v>
      </c>
      <c r="I560" s="2709"/>
      <c r="J560" s="2710"/>
      <c r="K560" s="2692">
        <f>K566+K573+K575+K579</f>
        <v>5</v>
      </c>
      <c r="L560" s="2692">
        <f>K560-3579.885</f>
        <v>-3574.8850000000002</v>
      </c>
      <c r="M560" s="2692"/>
      <c r="N560" s="2707">
        <f>N561</f>
        <v>1856.6780000000001</v>
      </c>
      <c r="O560" s="2692"/>
      <c r="P560" s="2692"/>
      <c r="Q560" s="2692"/>
      <c r="R560" s="2692"/>
      <c r="S560" s="2692"/>
      <c r="T560" s="2692"/>
      <c r="U560" s="2704">
        <f>U561</f>
        <v>1930.9469999999999</v>
      </c>
    </row>
    <row r="561" spans="1:21" ht="21" x14ac:dyDescent="0.25">
      <c r="A561" s="32"/>
      <c r="B561" s="753" t="s">
        <v>866</v>
      </c>
      <c r="C561" s="1183"/>
      <c r="D561" s="409" t="s">
        <v>456</v>
      </c>
      <c r="E561" s="409" t="s">
        <v>488</v>
      </c>
      <c r="F561" s="409" t="s">
        <v>157</v>
      </c>
      <c r="G561" s="1662"/>
      <c r="H561" s="2708">
        <f>H562</f>
        <v>1785.268</v>
      </c>
      <c r="I561" s="2709"/>
      <c r="J561" s="2710"/>
      <c r="K561" s="2692"/>
      <c r="L561" s="2692"/>
      <c r="M561" s="2692"/>
      <c r="N561" s="2711">
        <f>N562</f>
        <v>1856.6780000000001</v>
      </c>
      <c r="O561" s="2692"/>
      <c r="P561" s="2692"/>
      <c r="Q561" s="2692"/>
      <c r="R561" s="2692"/>
      <c r="S561" s="2692"/>
      <c r="T561" s="2692"/>
      <c r="U561" s="2708">
        <f>U562</f>
        <v>1930.9469999999999</v>
      </c>
    </row>
    <row r="562" spans="1:21" ht="21" x14ac:dyDescent="0.25">
      <c r="A562" s="32"/>
      <c r="B562" s="753" t="s">
        <v>867</v>
      </c>
      <c r="C562" s="1183"/>
      <c r="D562" s="409" t="s">
        <v>456</v>
      </c>
      <c r="E562" s="409" t="s">
        <v>488</v>
      </c>
      <c r="F562" s="409" t="s">
        <v>598</v>
      </c>
      <c r="G562" s="1662"/>
      <c r="H562" s="2708">
        <f>H563</f>
        <v>1785.268</v>
      </c>
      <c r="I562" s="2709"/>
      <c r="J562" s="2710"/>
      <c r="K562" s="2692"/>
      <c r="L562" s="2692"/>
      <c r="M562" s="2692"/>
      <c r="N562" s="2711">
        <f>N563</f>
        <v>1856.6780000000001</v>
      </c>
      <c r="O562" s="2692"/>
      <c r="P562" s="2692"/>
      <c r="Q562" s="2692"/>
      <c r="R562" s="2692"/>
      <c r="S562" s="2692"/>
      <c r="T562" s="2692"/>
      <c r="U562" s="2708">
        <f>U563</f>
        <v>1930.9469999999999</v>
      </c>
    </row>
    <row r="563" spans="1:21" x14ac:dyDescent="0.25">
      <c r="A563" s="32"/>
      <c r="B563" s="753" t="s">
        <v>582</v>
      </c>
      <c r="C563" s="1183"/>
      <c r="D563" s="409" t="s">
        <v>456</v>
      </c>
      <c r="E563" s="409" t="s">
        <v>488</v>
      </c>
      <c r="F563" s="409" t="s">
        <v>597</v>
      </c>
      <c r="G563" s="1662"/>
      <c r="H563" s="2708">
        <f>H564</f>
        <v>1785.268</v>
      </c>
      <c r="I563" s="2709"/>
      <c r="J563" s="2710"/>
      <c r="K563" s="2692"/>
      <c r="L563" s="2692"/>
      <c r="M563" s="2692"/>
      <c r="N563" s="2711">
        <f>N564</f>
        <v>1856.6780000000001</v>
      </c>
      <c r="O563" s="2692"/>
      <c r="P563" s="2692"/>
      <c r="Q563" s="2692"/>
      <c r="R563" s="2692"/>
      <c r="S563" s="2692"/>
      <c r="T563" s="2692"/>
      <c r="U563" s="2708">
        <f>U564</f>
        <v>1930.9469999999999</v>
      </c>
    </row>
    <row r="564" spans="1:21" ht="21" x14ac:dyDescent="0.25">
      <c r="A564" s="32"/>
      <c r="B564" s="753" t="s">
        <v>867</v>
      </c>
      <c r="C564" s="1183"/>
      <c r="D564" s="409" t="s">
        <v>456</v>
      </c>
      <c r="E564" s="409" t="s">
        <v>488</v>
      </c>
      <c r="F564" s="409" t="s">
        <v>593</v>
      </c>
      <c r="G564" s="1662"/>
      <c r="H564" s="2708">
        <f>H566</f>
        <v>1785.268</v>
      </c>
      <c r="I564" s="2709"/>
      <c r="J564" s="2710"/>
      <c r="K564" s="2692"/>
      <c r="L564" s="2692"/>
      <c r="M564" s="2692"/>
      <c r="N564" s="2711">
        <f>N566</f>
        <v>1856.6780000000001</v>
      </c>
      <c r="O564" s="2692"/>
      <c r="P564" s="2692"/>
      <c r="Q564" s="2692"/>
      <c r="R564" s="2692"/>
      <c r="S564" s="2692"/>
      <c r="T564" s="2692"/>
      <c r="U564" s="2708">
        <f>U566</f>
        <v>1930.9469999999999</v>
      </c>
    </row>
    <row r="565" spans="1:21" ht="39" x14ac:dyDescent="0.25">
      <c r="A565" s="32"/>
      <c r="B565" s="49" t="s">
        <v>1063</v>
      </c>
      <c r="C565" s="1183"/>
      <c r="D565" s="409" t="s">
        <v>456</v>
      </c>
      <c r="E565" s="409" t="s">
        <v>488</v>
      </c>
      <c r="F565" s="409" t="s">
        <v>593</v>
      </c>
      <c r="G565" s="1662" t="s">
        <v>1062</v>
      </c>
      <c r="H565" s="2708">
        <f t="shared" ref="H565:U565" si="131">H566</f>
        <v>1785.268</v>
      </c>
      <c r="I565" s="2709">
        <f t="shared" si="131"/>
        <v>0</v>
      </c>
      <c r="J565" s="2710">
        <f t="shared" si="131"/>
        <v>0</v>
      </c>
      <c r="K565" s="2692">
        <f t="shared" si="131"/>
        <v>0</v>
      </c>
      <c r="L565" s="2692">
        <f t="shared" si="131"/>
        <v>0</v>
      </c>
      <c r="M565" s="2692">
        <f t="shared" si="131"/>
        <v>0</v>
      </c>
      <c r="N565" s="2711">
        <f t="shared" si="131"/>
        <v>1856.6780000000001</v>
      </c>
      <c r="O565" s="2692">
        <f t="shared" si="131"/>
        <v>0</v>
      </c>
      <c r="P565" s="2692">
        <f t="shared" si="131"/>
        <v>0</v>
      </c>
      <c r="Q565" s="2692">
        <f t="shared" si="131"/>
        <v>0</v>
      </c>
      <c r="R565" s="2692">
        <f t="shared" si="131"/>
        <v>0</v>
      </c>
      <c r="S565" s="2692">
        <f t="shared" si="131"/>
        <v>0</v>
      </c>
      <c r="T565" s="2692">
        <f t="shared" si="131"/>
        <v>0</v>
      </c>
      <c r="U565" s="2708">
        <f t="shared" si="131"/>
        <v>1930.9469999999999</v>
      </c>
    </row>
    <row r="566" spans="1:21" x14ac:dyDescent="0.25">
      <c r="A566" s="32"/>
      <c r="B566" s="1185" t="s">
        <v>571</v>
      </c>
      <c r="C566" s="1183"/>
      <c r="D566" s="409" t="s">
        <v>456</v>
      </c>
      <c r="E566" s="409" t="s">
        <v>488</v>
      </c>
      <c r="F566" s="409" t="s">
        <v>593</v>
      </c>
      <c r="G566" s="1662" t="s">
        <v>5</v>
      </c>
      <c r="H566" s="2708">
        <v>1785.268</v>
      </c>
      <c r="I566" s="2709"/>
      <c r="J566" s="2710"/>
      <c r="K566" s="2692"/>
      <c r="L566" s="2692"/>
      <c r="M566" s="2692"/>
      <c r="N566" s="2711">
        <v>1856.6780000000001</v>
      </c>
      <c r="O566" s="2692"/>
      <c r="P566" s="2692"/>
      <c r="Q566" s="2692"/>
      <c r="R566" s="2692"/>
      <c r="S566" s="2692"/>
      <c r="T566" s="2692"/>
      <c r="U566" s="2708">
        <v>1930.9469999999999</v>
      </c>
    </row>
    <row r="567" spans="1:21" ht="34.5" x14ac:dyDescent="0.25">
      <c r="A567" s="32"/>
      <c r="B567" s="1184" t="s">
        <v>592</v>
      </c>
      <c r="C567" s="1177"/>
      <c r="D567" s="408" t="s">
        <v>456</v>
      </c>
      <c r="E567" s="408" t="s">
        <v>495</v>
      </c>
      <c r="F567" s="408"/>
      <c r="G567" s="1661"/>
      <c r="H567" s="2704">
        <f>H568</f>
        <v>1680.116</v>
      </c>
      <c r="I567" s="2705">
        <f>I568</f>
        <v>0</v>
      </c>
      <c r="J567" s="2706">
        <f>J568</f>
        <v>0</v>
      </c>
      <c r="K567" s="2692"/>
      <c r="L567" s="2692"/>
      <c r="M567" s="2692"/>
      <c r="N567" s="2707">
        <f>N568</f>
        <v>1527.6000000000001</v>
      </c>
      <c r="O567" s="2692"/>
      <c r="P567" s="2692"/>
      <c r="Q567" s="2692"/>
      <c r="R567" s="2692"/>
      <c r="S567" s="2692"/>
      <c r="T567" s="2692"/>
      <c r="U567" s="2704">
        <f>U568</f>
        <v>2129.9870000000001</v>
      </c>
    </row>
    <row r="568" spans="1:21" ht="21" x14ac:dyDescent="0.25">
      <c r="A568" s="32"/>
      <c r="B568" s="753" t="s">
        <v>588</v>
      </c>
      <c r="C568" s="1180"/>
      <c r="D568" s="409" t="s">
        <v>456</v>
      </c>
      <c r="E568" s="409" t="s">
        <v>495</v>
      </c>
      <c r="F568" s="409" t="s">
        <v>157</v>
      </c>
      <c r="G568" s="1662"/>
      <c r="H568" s="2708">
        <f>H569</f>
        <v>1680.116</v>
      </c>
      <c r="I568" s="2709">
        <f>I569+I581</f>
        <v>0</v>
      </c>
      <c r="J568" s="2710">
        <f>J569+J581</f>
        <v>0</v>
      </c>
      <c r="K568" s="2692"/>
      <c r="L568" s="2692"/>
      <c r="M568" s="2692"/>
      <c r="N568" s="2711">
        <f t="shared" ref="N568:U568" si="132">N569</f>
        <v>1527.6000000000001</v>
      </c>
      <c r="O568" s="2692">
        <f t="shared" si="132"/>
        <v>0</v>
      </c>
      <c r="P568" s="2692">
        <f t="shared" si="132"/>
        <v>0</v>
      </c>
      <c r="Q568" s="2692">
        <f t="shared" si="132"/>
        <v>0</v>
      </c>
      <c r="R568" s="2692">
        <f t="shared" si="132"/>
        <v>0</v>
      </c>
      <c r="S568" s="2692">
        <f t="shared" si="132"/>
        <v>0</v>
      </c>
      <c r="T568" s="2692">
        <f t="shared" si="132"/>
        <v>0</v>
      </c>
      <c r="U568" s="2708">
        <f t="shared" si="132"/>
        <v>2129.9870000000001</v>
      </c>
    </row>
    <row r="569" spans="1:21" ht="21" x14ac:dyDescent="0.25">
      <c r="A569" s="32"/>
      <c r="B569" s="753" t="s">
        <v>591</v>
      </c>
      <c r="C569" s="1180"/>
      <c r="D569" s="409" t="s">
        <v>456</v>
      </c>
      <c r="E569" s="409" t="s">
        <v>495</v>
      </c>
      <c r="F569" s="409" t="s">
        <v>155</v>
      </c>
      <c r="G569" s="1662"/>
      <c r="H569" s="2708">
        <f t="shared" ref="H569:J570" si="133">H570</f>
        <v>1680.116</v>
      </c>
      <c r="I569" s="2709">
        <f t="shared" si="133"/>
        <v>0</v>
      </c>
      <c r="J569" s="2710">
        <f t="shared" si="133"/>
        <v>0</v>
      </c>
      <c r="K569" s="2692"/>
      <c r="L569" s="2692"/>
      <c r="M569" s="2692"/>
      <c r="N569" s="2711">
        <f t="shared" ref="N569:N570" si="134">N570</f>
        <v>1527.6000000000001</v>
      </c>
      <c r="O569" s="2692"/>
      <c r="P569" s="2692"/>
      <c r="Q569" s="2692"/>
      <c r="R569" s="2692"/>
      <c r="S569" s="2692"/>
      <c r="T569" s="2692"/>
      <c r="U569" s="2708">
        <f t="shared" ref="U569:U570" si="135">U570</f>
        <v>2129.9870000000001</v>
      </c>
    </row>
    <row r="570" spans="1:21" x14ac:dyDescent="0.25">
      <c r="A570" s="32"/>
      <c r="B570" s="753" t="s">
        <v>582</v>
      </c>
      <c r="C570" s="1180"/>
      <c r="D570" s="409" t="s">
        <v>456</v>
      </c>
      <c r="E570" s="409" t="s">
        <v>495</v>
      </c>
      <c r="F570" s="409" t="s">
        <v>154</v>
      </c>
      <c r="G570" s="1662"/>
      <c r="H570" s="2708">
        <f t="shared" si="133"/>
        <v>1680.116</v>
      </c>
      <c r="I570" s="2709">
        <f t="shared" si="133"/>
        <v>0</v>
      </c>
      <c r="J570" s="2710">
        <f t="shared" si="133"/>
        <v>0</v>
      </c>
      <c r="K570" s="2692"/>
      <c r="L570" s="2692"/>
      <c r="M570" s="2692"/>
      <c r="N570" s="2711">
        <f t="shared" si="134"/>
        <v>1527.6000000000001</v>
      </c>
      <c r="O570" s="2692"/>
      <c r="P570" s="2692"/>
      <c r="Q570" s="2692"/>
      <c r="R570" s="2692"/>
      <c r="S570" s="2692"/>
      <c r="T570" s="2692"/>
      <c r="U570" s="2708">
        <f t="shared" si="135"/>
        <v>2129.9870000000001</v>
      </c>
    </row>
    <row r="571" spans="1:21" x14ac:dyDescent="0.25">
      <c r="A571" s="32"/>
      <c r="B571" s="753" t="s">
        <v>153</v>
      </c>
      <c r="C571" s="1180"/>
      <c r="D571" s="409" t="s">
        <v>456</v>
      </c>
      <c r="E571" s="409" t="s">
        <v>495</v>
      </c>
      <c r="F571" s="409" t="s">
        <v>152</v>
      </c>
      <c r="G571" s="1662"/>
      <c r="H571" s="2708">
        <f>H572+H574+H577</f>
        <v>1680.116</v>
      </c>
      <c r="I571" s="2709">
        <f>I573+I575</f>
        <v>0</v>
      </c>
      <c r="J571" s="2710">
        <f>J573+J575</f>
        <v>0</v>
      </c>
      <c r="K571" s="2692"/>
      <c r="L571" s="2692"/>
      <c r="M571" s="2692"/>
      <c r="N571" s="2711">
        <f>N573+N575+N579</f>
        <v>1527.6000000000001</v>
      </c>
      <c r="O571" s="2692"/>
      <c r="P571" s="2692"/>
      <c r="Q571" s="2692"/>
      <c r="R571" s="2692"/>
      <c r="S571" s="2692"/>
      <c r="T571" s="2692"/>
      <c r="U571" s="2708">
        <f>U573+U575+U579</f>
        <v>2129.9870000000001</v>
      </c>
    </row>
    <row r="572" spans="1:21" ht="39" x14ac:dyDescent="0.25">
      <c r="A572" s="32"/>
      <c r="B572" s="49" t="s">
        <v>1063</v>
      </c>
      <c r="C572" s="1180"/>
      <c r="D572" s="409" t="s">
        <v>456</v>
      </c>
      <c r="E572" s="409" t="s">
        <v>495</v>
      </c>
      <c r="F572" s="409" t="s">
        <v>152</v>
      </c>
      <c r="G572" s="1662" t="s">
        <v>1062</v>
      </c>
      <c r="H572" s="2708">
        <f t="shared" ref="H572:U572" si="136">H573</f>
        <v>987.178</v>
      </c>
      <c r="I572" s="2709">
        <f t="shared" si="136"/>
        <v>0</v>
      </c>
      <c r="J572" s="2716">
        <f t="shared" si="136"/>
        <v>0</v>
      </c>
      <c r="K572" s="2692">
        <f t="shared" si="136"/>
        <v>0</v>
      </c>
      <c r="L572" s="2692">
        <f t="shared" si="136"/>
        <v>0</v>
      </c>
      <c r="M572" s="2692">
        <f t="shared" si="136"/>
        <v>0</v>
      </c>
      <c r="N572" s="2711">
        <f t="shared" si="136"/>
        <v>1024.0250000000001</v>
      </c>
      <c r="O572" s="2692">
        <f t="shared" si="136"/>
        <v>0</v>
      </c>
      <c r="P572" s="2692">
        <f t="shared" si="136"/>
        <v>0</v>
      </c>
      <c r="Q572" s="2692">
        <f t="shared" si="136"/>
        <v>0</v>
      </c>
      <c r="R572" s="2692">
        <f t="shared" si="136"/>
        <v>0</v>
      </c>
      <c r="S572" s="2692">
        <f t="shared" si="136"/>
        <v>0</v>
      </c>
      <c r="T572" s="2692">
        <f t="shared" si="136"/>
        <v>0</v>
      </c>
      <c r="U572" s="2708">
        <f t="shared" si="136"/>
        <v>1062.347</v>
      </c>
    </row>
    <row r="573" spans="1:21" x14ac:dyDescent="0.25">
      <c r="A573" s="32"/>
      <c r="B573" s="1182" t="s">
        <v>571</v>
      </c>
      <c r="C573" s="1183"/>
      <c r="D573" s="409" t="s">
        <v>456</v>
      </c>
      <c r="E573" s="409" t="s">
        <v>495</v>
      </c>
      <c r="F573" s="409" t="s">
        <v>152</v>
      </c>
      <c r="G573" s="1662" t="s">
        <v>5</v>
      </c>
      <c r="H573" s="2708">
        <v>987.178</v>
      </c>
      <c r="I573" s="2709"/>
      <c r="J573" s="2712"/>
      <c r="K573" s="2692"/>
      <c r="L573" s="2692"/>
      <c r="M573" s="2692"/>
      <c r="N573" s="2711">
        <v>1024.0250000000001</v>
      </c>
      <c r="O573" s="2692"/>
      <c r="P573" s="2692"/>
      <c r="Q573" s="2692"/>
      <c r="R573" s="2692"/>
      <c r="S573" s="2692"/>
      <c r="T573" s="2692"/>
      <c r="U573" s="2708">
        <v>1062.347</v>
      </c>
    </row>
    <row r="574" spans="1:21" x14ac:dyDescent="0.25">
      <c r="A574" s="32"/>
      <c r="B574" s="1256" t="s">
        <v>921</v>
      </c>
      <c r="C574" s="1183"/>
      <c r="D574" s="409" t="s">
        <v>456</v>
      </c>
      <c r="E574" s="409" t="s">
        <v>495</v>
      </c>
      <c r="F574" s="409" t="s">
        <v>152</v>
      </c>
      <c r="G574" s="1662" t="s">
        <v>955</v>
      </c>
      <c r="H574" s="2708">
        <f t="shared" ref="H574:U574" si="137">H575</f>
        <v>691.93799999999999</v>
      </c>
      <c r="I574" s="2709">
        <f t="shared" si="137"/>
        <v>0</v>
      </c>
      <c r="J574" s="2712">
        <f t="shared" si="137"/>
        <v>0</v>
      </c>
      <c r="K574" s="2692">
        <f t="shared" si="137"/>
        <v>0</v>
      </c>
      <c r="L574" s="2692">
        <f t="shared" si="137"/>
        <v>0</v>
      </c>
      <c r="M574" s="2692">
        <f t="shared" si="137"/>
        <v>0</v>
      </c>
      <c r="N574" s="2711">
        <f t="shared" si="137"/>
        <v>502.57500000000005</v>
      </c>
      <c r="O574" s="2692">
        <f t="shared" si="137"/>
        <v>0</v>
      </c>
      <c r="P574" s="2692">
        <f t="shared" si="137"/>
        <v>0</v>
      </c>
      <c r="Q574" s="2692">
        <f t="shared" si="137"/>
        <v>0</v>
      </c>
      <c r="R574" s="2692">
        <f t="shared" si="137"/>
        <v>0</v>
      </c>
      <c r="S574" s="2692">
        <f t="shared" si="137"/>
        <v>0</v>
      </c>
      <c r="T574" s="2692">
        <f t="shared" si="137"/>
        <v>0</v>
      </c>
      <c r="U574" s="2708">
        <f t="shared" si="137"/>
        <v>1066.6400000000001</v>
      </c>
    </row>
    <row r="575" spans="1:21" ht="21" x14ac:dyDescent="0.25">
      <c r="A575" s="32"/>
      <c r="B575" s="1182" t="s">
        <v>454</v>
      </c>
      <c r="C575" s="1183"/>
      <c r="D575" s="409" t="s">
        <v>456</v>
      </c>
      <c r="E575" s="409" t="s">
        <v>495</v>
      </c>
      <c r="F575" s="409" t="s">
        <v>152</v>
      </c>
      <c r="G575" s="1662" t="s">
        <v>1</v>
      </c>
      <c r="H575" s="2713">
        <f>941.938-250</f>
        <v>691.93799999999999</v>
      </c>
      <c r="I575" s="2709"/>
      <c r="J575" s="2712"/>
      <c r="K575" s="2714"/>
      <c r="L575" s="2692"/>
      <c r="M575" s="2692"/>
      <c r="N575" s="2715">
        <f>1002.475-499.9</f>
        <v>502.57500000000005</v>
      </c>
      <c r="O575" s="2692"/>
      <c r="P575" s="2692"/>
      <c r="Q575" s="2692"/>
      <c r="R575" s="2692"/>
      <c r="S575" s="2692"/>
      <c r="T575" s="2692"/>
      <c r="U575" s="2713">
        <v>1066.6400000000001</v>
      </c>
    </row>
    <row r="576" spans="1:21" hidden="1" x14ac:dyDescent="0.25">
      <c r="A576" s="1478"/>
      <c r="B576" s="1191" t="s">
        <v>1003</v>
      </c>
      <c r="C576" s="1192"/>
      <c r="D576" s="409" t="s">
        <v>456</v>
      </c>
      <c r="E576" s="409" t="s">
        <v>495</v>
      </c>
      <c r="F576" s="409" t="s">
        <v>152</v>
      </c>
      <c r="G576" s="1663" t="s">
        <v>95</v>
      </c>
      <c r="H576" s="2790"/>
      <c r="I576" s="2719"/>
      <c r="J576" s="2791"/>
      <c r="K576" s="2714"/>
      <c r="L576" s="2692"/>
      <c r="M576" s="2692"/>
      <c r="N576" s="2792"/>
      <c r="O576" s="2692"/>
      <c r="P576" s="2692"/>
      <c r="Q576" s="2692"/>
      <c r="R576" s="2692"/>
      <c r="S576" s="2692"/>
      <c r="T576" s="2692"/>
      <c r="U576" s="2790"/>
    </row>
    <row r="577" spans="1:30" x14ac:dyDescent="0.25">
      <c r="A577" s="1478"/>
      <c r="B577" s="1191" t="s">
        <v>1068</v>
      </c>
      <c r="C577" s="1192"/>
      <c r="D577" s="1193" t="s">
        <v>456</v>
      </c>
      <c r="E577" s="1193" t="s">
        <v>495</v>
      </c>
      <c r="F577" s="1193" t="s">
        <v>152</v>
      </c>
      <c r="G577" s="1663" t="s">
        <v>1064</v>
      </c>
      <c r="H577" s="2790">
        <f>H579+H578</f>
        <v>1</v>
      </c>
      <c r="I577" s="2719">
        <f t="shared" ref="I577:U577" si="138">I579</f>
        <v>0</v>
      </c>
      <c r="J577" s="2791">
        <f t="shared" si="138"/>
        <v>0</v>
      </c>
      <c r="K577" s="2714">
        <f t="shared" si="138"/>
        <v>5</v>
      </c>
      <c r="L577" s="2692">
        <f t="shared" si="138"/>
        <v>0</v>
      </c>
      <c r="M577" s="2692">
        <f t="shared" si="138"/>
        <v>0</v>
      </c>
      <c r="N577" s="2792">
        <f t="shared" si="138"/>
        <v>1</v>
      </c>
      <c r="O577" s="2692">
        <f t="shared" si="138"/>
        <v>0</v>
      </c>
      <c r="P577" s="2692">
        <f t="shared" si="138"/>
        <v>0</v>
      </c>
      <c r="Q577" s="2692">
        <f t="shared" si="138"/>
        <v>0</v>
      </c>
      <c r="R577" s="2692">
        <f t="shared" si="138"/>
        <v>0</v>
      </c>
      <c r="S577" s="2692">
        <f t="shared" si="138"/>
        <v>0</v>
      </c>
      <c r="T577" s="2692">
        <f t="shared" si="138"/>
        <v>0</v>
      </c>
      <c r="U577" s="2790">
        <f t="shared" si="138"/>
        <v>1</v>
      </c>
    </row>
    <row r="578" spans="1:30" ht="13" thickBot="1" x14ac:dyDescent="0.3">
      <c r="A578" s="1478"/>
      <c r="B578" s="1191" t="s">
        <v>1003</v>
      </c>
      <c r="C578" s="1192"/>
      <c r="D578" s="1193" t="s">
        <v>456</v>
      </c>
      <c r="E578" s="1193" t="s">
        <v>495</v>
      </c>
      <c r="F578" s="1261" t="s">
        <v>152</v>
      </c>
      <c r="G578" s="1663" t="s">
        <v>95</v>
      </c>
      <c r="H578" s="2790">
        <v>0.5</v>
      </c>
      <c r="I578" s="2719"/>
      <c r="J578" s="2791"/>
      <c r="K578" s="2714"/>
      <c r="L578" s="2692"/>
      <c r="M578" s="2692"/>
      <c r="N578" s="2792">
        <v>0</v>
      </c>
      <c r="O578" s="2692"/>
      <c r="P578" s="2692"/>
      <c r="Q578" s="2692"/>
      <c r="R578" s="2692"/>
      <c r="S578" s="2692"/>
      <c r="T578" s="2692"/>
      <c r="U578" s="2790">
        <v>0</v>
      </c>
    </row>
    <row r="579" spans="1:30" ht="13" thickBot="1" x14ac:dyDescent="0.3">
      <c r="A579" s="26"/>
      <c r="B579" s="1259" t="s">
        <v>457</v>
      </c>
      <c r="C579" s="1260"/>
      <c r="D579" s="1261" t="s">
        <v>456</v>
      </c>
      <c r="E579" s="1261" t="s">
        <v>495</v>
      </c>
      <c r="F579" s="1261" t="s">
        <v>152</v>
      </c>
      <c r="G579" s="1672" t="s">
        <v>91</v>
      </c>
      <c r="H579" s="2793">
        <v>0.5</v>
      </c>
      <c r="I579" s="2794"/>
      <c r="J579" s="2795"/>
      <c r="K579" s="2796">
        <v>5</v>
      </c>
      <c r="L579" s="2797"/>
      <c r="M579" s="2797"/>
      <c r="N579" s="2798">
        <v>1</v>
      </c>
      <c r="O579" s="2797"/>
      <c r="P579" s="2797"/>
      <c r="Q579" s="2797"/>
      <c r="R579" s="2797"/>
      <c r="S579" s="2797"/>
      <c r="T579" s="2797"/>
      <c r="U579" s="2793">
        <v>1</v>
      </c>
    </row>
    <row r="580" spans="1:30" ht="39.5" hidden="1" thickBot="1" x14ac:dyDescent="0.3">
      <c r="A580" s="1168">
        <v>3</v>
      </c>
      <c r="B580" s="2222" t="s">
        <v>1109</v>
      </c>
      <c r="C580" s="1161" t="s">
        <v>1108</v>
      </c>
      <c r="D580" s="1161"/>
      <c r="E580" s="1161"/>
      <c r="F580" s="1161"/>
      <c r="G580" s="1658"/>
      <c r="H580" s="2694">
        <f>H581+H675+H701+H750+H843+H853++H876+H894+H667+H919</f>
        <v>0</v>
      </c>
      <c r="I580" s="2695">
        <f>I581+I650+I676+I725+I799+I810+I849+I864+I642</f>
        <v>0</v>
      </c>
      <c r="J580" s="2698">
        <f>J581+J650+J676+J725+J799+J810+J849+J864+J642</f>
        <v>0</v>
      </c>
      <c r="K580" s="2789"/>
      <c r="L580" s="2789"/>
      <c r="M580" s="2789"/>
      <c r="N580" s="2697">
        <f>N581+N675+N701+N750+N843+N853++N876+N894+N667+N919</f>
        <v>2677.2579999999998</v>
      </c>
      <c r="O580" s="2789"/>
      <c r="P580" s="2789"/>
      <c r="Q580" s="2789"/>
      <c r="R580" s="2789"/>
      <c r="S580" s="2789"/>
      <c r="T580" s="2789"/>
      <c r="U580" s="2694">
        <f>U581+U675+U701+U750+U843+U853++U876+U894+U667+U919</f>
        <v>5716.41</v>
      </c>
    </row>
    <row r="581" spans="1:30" ht="13" hidden="1" x14ac:dyDescent="0.3">
      <c r="A581" s="2223"/>
      <c r="B581" s="2239" t="s">
        <v>431</v>
      </c>
      <c r="C581" s="2224"/>
      <c r="D581" s="1361" t="s">
        <v>456</v>
      </c>
      <c r="E581" s="1361" t="s">
        <v>459</v>
      </c>
      <c r="F581" s="1361"/>
      <c r="G581" s="1851"/>
      <c r="H581" s="2799">
        <f>H588+H589+H614+H632+H644+H650</f>
        <v>0</v>
      </c>
      <c r="I581" s="2800">
        <f>I582+I589+I606</f>
        <v>0</v>
      </c>
      <c r="J581" s="2801">
        <f>J582+J589+J606</f>
        <v>0</v>
      </c>
      <c r="K581" s="2802" t="e">
        <f>#REF!+K595+K597+K600+K619+K620+K621+K623+K625+K631+K637+K649+K653+K654+K655+K656</f>
        <v>#REF!</v>
      </c>
      <c r="L581" s="2803"/>
      <c r="M581" s="2803"/>
      <c r="N581" s="2799">
        <f>N588+N589+N614+N632+N644+N650</f>
        <v>2677.2579999999998</v>
      </c>
      <c r="O581" s="2803"/>
      <c r="P581" s="2803"/>
      <c r="Q581" s="2803"/>
      <c r="R581" s="2803"/>
      <c r="S581" s="2803"/>
      <c r="T581" s="2803"/>
      <c r="U581" s="2799">
        <f>U588+U589+U614+U632+U644+U650</f>
        <v>5716.41</v>
      </c>
    </row>
    <row r="582" spans="1:30" ht="13" hidden="1" x14ac:dyDescent="0.3">
      <c r="A582" s="2221"/>
      <c r="B582" s="2240" t="s">
        <v>1110</v>
      </c>
      <c r="C582" s="1177"/>
      <c r="D582" s="408" t="s">
        <v>456</v>
      </c>
      <c r="E582" s="408" t="s">
        <v>506</v>
      </c>
      <c r="F582" s="408"/>
      <c r="G582" s="1661"/>
      <c r="H582" s="2704">
        <f t="shared" ref="H582:H587" si="139">H583</f>
        <v>0</v>
      </c>
      <c r="I582" s="2705">
        <f t="shared" ref="I582:J586" si="140">I583</f>
        <v>0</v>
      </c>
      <c r="J582" s="2706">
        <f t="shared" si="140"/>
        <v>0</v>
      </c>
      <c r="K582" s="2736"/>
      <c r="L582" s="2736"/>
      <c r="M582" s="2736"/>
      <c r="N582" s="2704">
        <f t="shared" ref="N582:N587" si="141">N583</f>
        <v>0</v>
      </c>
      <c r="O582" s="2736"/>
      <c r="P582" s="2736"/>
      <c r="Q582" s="2736"/>
      <c r="R582" s="2736"/>
      <c r="S582" s="2736"/>
      <c r="T582" s="2736"/>
      <c r="U582" s="2704">
        <f t="shared" ref="U582:U587" si="142">U583</f>
        <v>0</v>
      </c>
    </row>
    <row r="583" spans="1:30" ht="26" hidden="1" x14ac:dyDescent="0.3">
      <c r="A583" s="2221"/>
      <c r="B583" s="2241" t="s">
        <v>1111</v>
      </c>
      <c r="C583" s="1177"/>
      <c r="D583" s="408" t="s">
        <v>456</v>
      </c>
      <c r="E583" s="408" t="s">
        <v>506</v>
      </c>
      <c r="F583" s="408" t="s">
        <v>89</v>
      </c>
      <c r="G583" s="1661"/>
      <c r="H583" s="2708">
        <f t="shared" si="139"/>
        <v>0</v>
      </c>
      <c r="I583" s="2705">
        <f t="shared" si="140"/>
        <v>0</v>
      </c>
      <c r="J583" s="2706">
        <f t="shared" si="140"/>
        <v>0</v>
      </c>
      <c r="K583" s="2736"/>
      <c r="L583" s="2736"/>
      <c r="M583" s="2736"/>
      <c r="N583" s="2708">
        <f t="shared" si="141"/>
        <v>0</v>
      </c>
      <c r="O583" s="2736"/>
      <c r="P583" s="2736"/>
      <c r="Q583" s="2736"/>
      <c r="R583" s="2736"/>
      <c r="S583" s="2736"/>
      <c r="T583" s="2736"/>
      <c r="U583" s="2708">
        <f t="shared" si="142"/>
        <v>0</v>
      </c>
    </row>
    <row r="584" spans="1:30" ht="13" hidden="1" x14ac:dyDescent="0.3">
      <c r="A584" s="2221"/>
      <c r="B584" s="2241" t="s">
        <v>582</v>
      </c>
      <c r="C584" s="1177"/>
      <c r="D584" s="408" t="s">
        <v>456</v>
      </c>
      <c r="E584" s="408" t="s">
        <v>506</v>
      </c>
      <c r="F584" s="408" t="s">
        <v>84</v>
      </c>
      <c r="G584" s="1661"/>
      <c r="H584" s="2708">
        <f t="shared" si="139"/>
        <v>0</v>
      </c>
      <c r="I584" s="2705">
        <f t="shared" si="140"/>
        <v>0</v>
      </c>
      <c r="J584" s="2706">
        <f t="shared" si="140"/>
        <v>0</v>
      </c>
      <c r="K584" s="2736"/>
      <c r="L584" s="2736"/>
      <c r="M584" s="2736"/>
      <c r="N584" s="2708">
        <f t="shared" si="141"/>
        <v>0</v>
      </c>
      <c r="O584" s="2736"/>
      <c r="P584" s="2736"/>
      <c r="Q584" s="2736"/>
      <c r="R584" s="2736"/>
      <c r="S584" s="2736"/>
      <c r="T584" s="2736"/>
      <c r="U584" s="2708">
        <f t="shared" si="142"/>
        <v>0</v>
      </c>
    </row>
    <row r="585" spans="1:30" ht="13" hidden="1" x14ac:dyDescent="0.3">
      <c r="A585" s="2221"/>
      <c r="B585" s="2241" t="s">
        <v>582</v>
      </c>
      <c r="C585" s="1177"/>
      <c r="D585" s="408" t="s">
        <v>595</v>
      </c>
      <c r="E585" s="408" t="s">
        <v>506</v>
      </c>
      <c r="F585" s="408" t="s">
        <v>82</v>
      </c>
      <c r="G585" s="1661"/>
      <c r="H585" s="2708">
        <f t="shared" si="139"/>
        <v>0</v>
      </c>
      <c r="I585" s="2705">
        <f t="shared" si="140"/>
        <v>0</v>
      </c>
      <c r="J585" s="2706">
        <f t="shared" si="140"/>
        <v>0</v>
      </c>
      <c r="K585" s="2736"/>
      <c r="L585" s="2736"/>
      <c r="M585" s="2736"/>
      <c r="N585" s="2708">
        <f t="shared" si="141"/>
        <v>0</v>
      </c>
      <c r="O585" s="2736"/>
      <c r="P585" s="2736"/>
      <c r="Q585" s="2736"/>
      <c r="R585" s="2736"/>
      <c r="S585" s="2736"/>
      <c r="T585" s="2736"/>
      <c r="U585" s="2708">
        <f t="shared" si="142"/>
        <v>0</v>
      </c>
    </row>
    <row r="586" spans="1:30" ht="39" hidden="1" x14ac:dyDescent="0.3">
      <c r="A586" s="2221"/>
      <c r="B586" s="2242" t="s">
        <v>1114</v>
      </c>
      <c r="C586" s="1177"/>
      <c r="D586" s="408" t="s">
        <v>595</v>
      </c>
      <c r="E586" s="408" t="s">
        <v>506</v>
      </c>
      <c r="F586" s="408" t="s">
        <v>1104</v>
      </c>
      <c r="G586" s="1661"/>
      <c r="H586" s="2708">
        <f t="shared" si="139"/>
        <v>0</v>
      </c>
      <c r="I586" s="2705">
        <f t="shared" si="140"/>
        <v>0</v>
      </c>
      <c r="J586" s="2706">
        <f t="shared" si="140"/>
        <v>0</v>
      </c>
      <c r="K586" s="2736"/>
      <c r="L586" s="2736"/>
      <c r="M586" s="2736"/>
      <c r="N586" s="2708">
        <f t="shared" si="141"/>
        <v>0</v>
      </c>
      <c r="O586" s="2736"/>
      <c r="P586" s="2736"/>
      <c r="Q586" s="2736"/>
      <c r="R586" s="2736"/>
      <c r="S586" s="2736"/>
      <c r="T586" s="2736"/>
      <c r="U586" s="2708">
        <f t="shared" si="142"/>
        <v>0</v>
      </c>
    </row>
    <row r="587" spans="1:30" ht="13" hidden="1" x14ac:dyDescent="0.3">
      <c r="A587" s="2221"/>
      <c r="B587" s="2243" t="s">
        <v>1065</v>
      </c>
      <c r="C587" s="1207"/>
      <c r="D587" s="408" t="s">
        <v>456</v>
      </c>
      <c r="E587" s="408" t="s">
        <v>506</v>
      </c>
      <c r="F587" s="408" t="s">
        <v>1104</v>
      </c>
      <c r="G587" s="1661" t="s">
        <v>1064</v>
      </c>
      <c r="H587" s="2708">
        <f t="shared" si="139"/>
        <v>0</v>
      </c>
      <c r="I587" s="2705"/>
      <c r="J587" s="2706"/>
      <c r="K587" s="2736"/>
      <c r="L587" s="2736"/>
      <c r="M587" s="2736"/>
      <c r="N587" s="2708">
        <f t="shared" si="141"/>
        <v>0</v>
      </c>
      <c r="O587" s="2736"/>
      <c r="P587" s="2736"/>
      <c r="Q587" s="2736"/>
      <c r="R587" s="2736"/>
      <c r="S587" s="2736"/>
      <c r="T587" s="2736"/>
      <c r="U587" s="2708">
        <f t="shared" si="142"/>
        <v>0</v>
      </c>
    </row>
    <row r="588" spans="1:30" ht="13.5" hidden="1" thickBot="1" x14ac:dyDescent="0.35">
      <c r="A588" s="2225"/>
      <c r="B588" s="2244" t="s">
        <v>1112</v>
      </c>
      <c r="C588" s="2226"/>
      <c r="D588" s="2227" t="s">
        <v>456</v>
      </c>
      <c r="E588" s="2227" t="s">
        <v>506</v>
      </c>
      <c r="F588" s="2227" t="s">
        <v>1104</v>
      </c>
      <c r="G588" s="2228" t="s">
        <v>1113</v>
      </c>
      <c r="H588" s="2718">
        <v>0</v>
      </c>
      <c r="I588" s="2804"/>
      <c r="J588" s="2805"/>
      <c r="K588" s="2736" t="e">
        <f>#REF!+K595+K597+K600</f>
        <v>#REF!</v>
      </c>
      <c r="L588" s="2736" t="e">
        <f>K588-3579.885</f>
        <v>#REF!</v>
      </c>
      <c r="M588" s="2736"/>
      <c r="N588" s="2718">
        <v>0</v>
      </c>
      <c r="O588" s="2736"/>
      <c r="P588" s="2736"/>
      <c r="Q588" s="2736"/>
      <c r="R588" s="2736"/>
      <c r="S588" s="2736"/>
      <c r="T588" s="2736"/>
      <c r="U588" s="2718">
        <v>0</v>
      </c>
    </row>
    <row r="589" spans="1:30" ht="13.5" thickBot="1" x14ac:dyDescent="0.35">
      <c r="A589" s="2379"/>
      <c r="B589" s="2383" t="s">
        <v>1207</v>
      </c>
      <c r="C589" s="2380"/>
      <c r="D589" s="2381"/>
      <c r="E589" s="2381"/>
      <c r="F589" s="2381"/>
      <c r="G589" s="2381"/>
      <c r="H589" s="2806"/>
      <c r="I589" s="2807"/>
      <c r="J589" s="2808"/>
      <c r="K589" s="2808"/>
      <c r="L589" s="2808"/>
      <c r="M589" s="2808"/>
      <c r="N589" s="2807">
        <v>2677.2579999999998</v>
      </c>
      <c r="O589" s="2808"/>
      <c r="P589" s="2808"/>
      <c r="Q589" s="2808"/>
      <c r="R589" s="2808"/>
      <c r="S589" s="2808"/>
      <c r="T589" s="2808"/>
      <c r="U589" s="2809">
        <v>5716.41</v>
      </c>
    </row>
    <row r="590" spans="1:30" ht="13.5" thickBot="1" x14ac:dyDescent="0.35">
      <c r="A590" s="2379"/>
      <c r="B590" s="2382" t="s">
        <v>1208</v>
      </c>
      <c r="C590" s="2380"/>
      <c r="D590" s="2381"/>
      <c r="E590" s="2381"/>
      <c r="F590" s="2381"/>
      <c r="G590" s="2381"/>
      <c r="H590" s="2810">
        <f>H24+H589</f>
        <v>127454.38307000001</v>
      </c>
      <c r="I590" s="2399"/>
      <c r="J590" s="2811"/>
      <c r="K590" s="2811"/>
      <c r="L590" s="2811"/>
      <c r="M590" s="2811"/>
      <c r="N590" s="2399">
        <f>N24+N589</f>
        <v>136374.37044</v>
      </c>
      <c r="O590" s="2811"/>
      <c r="P590" s="2811"/>
      <c r="Q590" s="2811"/>
      <c r="R590" s="2811"/>
      <c r="S590" s="2811"/>
      <c r="T590" s="2811"/>
      <c r="U590" s="2400">
        <f>U24+U589</f>
        <v>112666.04000000001</v>
      </c>
      <c r="AD590" s="237">
        <f>H590+N590+U590-H552-N552-U552-H100-N100-U100</f>
        <v>361934.19750999997</v>
      </c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70866141732283472" right="0.23622047244094491" top="0.45" bottom="0.31496062992125984" header="0.31496062992125984" footer="0.15748031496062992"/>
  <pageSetup paperSize="9" scale="50" firstPageNumber="55" fitToHeight="4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28"/>
  <sheetViews>
    <sheetView zoomScale="64" zoomScaleNormal="64" workbookViewId="0">
      <selection activeCell="K21" sqref="K21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" customHeight="1" x14ac:dyDescent="0.35">
      <c r="A1" s="2290"/>
      <c r="B1" s="2290"/>
      <c r="C1" s="2290"/>
      <c r="D1" s="2290"/>
      <c r="E1" s="2290"/>
      <c r="F1" s="2290"/>
      <c r="G1" s="2290"/>
      <c r="H1" s="3500" t="s">
        <v>936</v>
      </c>
      <c r="I1" s="3500"/>
      <c r="J1" s="3500"/>
    </row>
    <row r="2" spans="1:25" ht="14.15" customHeight="1" x14ac:dyDescent="0.35">
      <c r="A2" s="2290"/>
      <c r="B2" s="2290"/>
      <c r="C2" s="2290"/>
      <c r="D2" s="2290"/>
      <c r="E2" s="2290"/>
      <c r="F2" s="2290"/>
      <c r="G2" s="2290"/>
      <c r="H2" s="3500" t="s">
        <v>450</v>
      </c>
      <c r="I2" s="3500"/>
      <c r="J2" s="3500"/>
    </row>
    <row r="3" spans="1:25" ht="16" customHeight="1" x14ac:dyDescent="0.35">
      <c r="A3" s="2290"/>
      <c r="B3" s="2290"/>
      <c r="C3" s="2290"/>
      <c r="D3" s="2290"/>
      <c r="E3" s="2290"/>
      <c r="F3" s="2290"/>
      <c r="G3" s="2290"/>
      <c r="H3" s="3500" t="s">
        <v>449</v>
      </c>
      <c r="I3" s="3500"/>
      <c r="J3" s="3500"/>
    </row>
    <row r="4" spans="1:25" ht="16" customHeight="1" x14ac:dyDescent="0.35">
      <c r="A4" s="2290"/>
      <c r="B4" s="2290"/>
      <c r="C4" s="2290"/>
      <c r="D4" s="2290"/>
      <c r="E4" s="2290"/>
      <c r="F4" s="2290"/>
      <c r="G4" s="2290"/>
      <c r="H4" s="3500" t="s">
        <v>448</v>
      </c>
      <c r="I4" s="3500"/>
      <c r="J4" s="3500"/>
    </row>
    <row r="5" spans="1:25" ht="15" customHeight="1" x14ac:dyDescent="0.35">
      <c r="A5" s="2290"/>
      <c r="B5" s="2290"/>
      <c r="C5" s="2290"/>
      <c r="D5" s="2290"/>
      <c r="E5" s="2290"/>
      <c r="F5" s="2290"/>
      <c r="G5" s="2290"/>
      <c r="H5" s="3500" t="str">
        <f>'прил2 дох 2021-2023'!$K$16</f>
        <v xml:space="preserve">    от  " 22 " сентября  2021 года № 221 </v>
      </c>
      <c r="I5" s="3500"/>
      <c r="J5" s="3500"/>
    </row>
    <row r="6" spans="1:25" ht="16" customHeight="1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975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975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258" t="s">
        <v>1223</v>
      </c>
      <c r="I11" s="3258"/>
      <c r="J11" s="325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498" t="s">
        <v>983</v>
      </c>
      <c r="C14" s="3498"/>
      <c r="D14" s="3498"/>
      <c r="E14" s="3498"/>
      <c r="F14" s="3498"/>
      <c r="G14" s="3498"/>
      <c r="H14" s="3498"/>
      <c r="I14" s="3498"/>
      <c r="J14" s="3498"/>
    </row>
    <row r="15" spans="1:25" ht="20.149999999999999" customHeight="1" x14ac:dyDescent="0.35">
      <c r="A15" s="3499" t="s">
        <v>869</v>
      </c>
      <c r="B15" s="3499"/>
      <c r="C15" s="3499"/>
      <c r="D15" s="3499"/>
      <c r="E15" s="3499"/>
      <c r="F15" s="3499"/>
      <c r="G15" s="3499"/>
      <c r="H15" s="3499"/>
      <c r="I15" s="3499"/>
      <c r="J15" s="3499"/>
      <c r="K15" s="2253"/>
    </row>
    <row r="16" spans="1:25" ht="15.75" customHeight="1" x14ac:dyDescent="0.35">
      <c r="A16" s="2998" t="s">
        <v>1195</v>
      </c>
      <c r="B16" s="2998"/>
      <c r="C16" s="2998"/>
      <c r="D16" s="2998"/>
      <c r="E16" s="2998"/>
      <c r="F16" s="2998"/>
      <c r="G16" s="2998"/>
      <c r="H16" s="2998"/>
      <c r="I16" s="2998"/>
      <c r="J16" s="299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976"/>
      <c r="D17" s="2976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977" t="s">
        <v>611</v>
      </c>
      <c r="C18" s="2978" t="s">
        <v>980</v>
      </c>
      <c r="D18" s="2978" t="s">
        <v>609</v>
      </c>
      <c r="E18" s="2978" t="s">
        <v>608</v>
      </c>
      <c r="F18" s="2978" t="s">
        <v>607</v>
      </c>
      <c r="G18" s="2978" t="s">
        <v>606</v>
      </c>
      <c r="H18" s="2978" t="s">
        <v>982</v>
      </c>
      <c r="I18" s="2978" t="s">
        <v>1042</v>
      </c>
      <c r="J18" s="2979" t="s">
        <v>1204</v>
      </c>
    </row>
    <row r="19" spans="1:10" ht="123" customHeight="1" x14ac:dyDescent="0.3">
      <c r="A19" s="2290"/>
      <c r="B19" s="2980">
        <v>1</v>
      </c>
      <c r="C19" s="2981" t="s">
        <v>987</v>
      </c>
      <c r="D19" s="2982" t="s">
        <v>452</v>
      </c>
      <c r="E19" s="2982" t="s">
        <v>539</v>
      </c>
      <c r="F19" s="2982" t="s">
        <v>214</v>
      </c>
      <c r="G19" s="2982"/>
      <c r="H19" s="2983">
        <f>H21+H23</f>
        <v>8054.77711</v>
      </c>
      <c r="I19" s="2983">
        <f>I21+I23</f>
        <v>25826.582439999998</v>
      </c>
      <c r="J19" s="2984">
        <f>J21+J23</f>
        <v>948.3</v>
      </c>
    </row>
    <row r="20" spans="1:10" s="2254" customFormat="1" ht="55" customHeight="1" x14ac:dyDescent="0.35">
      <c r="A20" s="2311"/>
      <c r="B20" s="2985"/>
      <c r="C20" s="2986" t="s">
        <v>988</v>
      </c>
      <c r="D20" s="2982" t="s">
        <v>452</v>
      </c>
      <c r="E20" s="2982" t="s">
        <v>539</v>
      </c>
      <c r="F20" s="2982" t="s">
        <v>984</v>
      </c>
      <c r="G20" s="2987"/>
      <c r="H20" s="2988">
        <f>H21</f>
        <v>7106.2214400000003</v>
      </c>
      <c r="I20" s="2988">
        <f>I21</f>
        <v>24878.282439999999</v>
      </c>
      <c r="J20" s="2989">
        <f>J21</f>
        <v>0</v>
      </c>
    </row>
    <row r="21" spans="1:10" s="2254" customFormat="1" ht="41.15" customHeight="1" x14ac:dyDescent="0.35">
      <c r="A21" s="2311"/>
      <c r="B21" s="2985"/>
      <c r="C21" s="2986" t="s">
        <v>1210</v>
      </c>
      <c r="D21" s="2982" t="s">
        <v>452</v>
      </c>
      <c r="E21" s="2982" t="s">
        <v>539</v>
      </c>
      <c r="F21" s="2982" t="s">
        <v>984</v>
      </c>
      <c r="G21" s="2990" t="s">
        <v>1</v>
      </c>
      <c r="H21" s="2988">
        <f>652.5+6453.72144</f>
        <v>7106.2214400000003</v>
      </c>
      <c r="I21" s="2988">
        <f>31332.00388-6453.72144</f>
        <v>24878.282439999999</v>
      </c>
      <c r="J21" s="2989">
        <v>0</v>
      </c>
    </row>
    <row r="22" spans="1:10" s="2254" customFormat="1" ht="33.75" customHeight="1" x14ac:dyDescent="0.35">
      <c r="A22" s="2311"/>
      <c r="B22" s="2985"/>
      <c r="C22" s="2986" t="s">
        <v>619</v>
      </c>
      <c r="D22" s="2982" t="s">
        <v>452</v>
      </c>
      <c r="E22" s="2982" t="s">
        <v>539</v>
      </c>
      <c r="F22" s="2982" t="s">
        <v>213</v>
      </c>
      <c r="G22" s="2990"/>
      <c r="H22" s="2988">
        <f>H23</f>
        <v>948.55566999999996</v>
      </c>
      <c r="I22" s="2988">
        <f>I23</f>
        <v>948.3</v>
      </c>
      <c r="J22" s="2989">
        <f>J23</f>
        <v>948.3</v>
      </c>
    </row>
    <row r="23" spans="1:10" s="2254" customFormat="1" ht="52.5" customHeight="1" x14ac:dyDescent="0.35">
      <c r="A23" s="2311"/>
      <c r="B23" s="2985"/>
      <c r="C23" s="2986" t="s">
        <v>1150</v>
      </c>
      <c r="D23" s="2982" t="s">
        <v>452</v>
      </c>
      <c r="E23" s="2982" t="s">
        <v>539</v>
      </c>
      <c r="F23" s="2982" t="s">
        <v>213</v>
      </c>
      <c r="G23" s="2990" t="s">
        <v>1</v>
      </c>
      <c r="H23" s="2988">
        <f>948.3+0.25567</f>
        <v>948.55566999999996</v>
      </c>
      <c r="I23" s="2988">
        <v>948.3</v>
      </c>
      <c r="J23" s="2989">
        <v>948.3</v>
      </c>
    </row>
    <row r="24" spans="1:10" s="2254" customFormat="1" ht="52.5" hidden="1" customHeight="1" x14ac:dyDescent="0.35">
      <c r="A24" s="2311"/>
      <c r="B24" s="2991"/>
      <c r="C24" s="2992"/>
      <c r="D24" s="2982" t="s">
        <v>452</v>
      </c>
      <c r="E24" s="2982" t="s">
        <v>539</v>
      </c>
      <c r="F24" s="2982" t="s">
        <v>205</v>
      </c>
      <c r="G24" s="2990" t="s">
        <v>1</v>
      </c>
      <c r="H24" s="2993"/>
      <c r="I24" s="2993"/>
      <c r="J24" s="2994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995">
        <f>H19</f>
        <v>8054.77711</v>
      </c>
      <c r="I25" s="2995">
        <f>I19</f>
        <v>25826.582439999998</v>
      </c>
      <c r="J25" s="2996">
        <f>J19</f>
        <v>948.3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2997" t="s">
        <v>792</v>
      </c>
      <c r="L12" s="2997"/>
      <c r="M12" s="2997"/>
      <c r="N12" s="2997"/>
      <c r="O12" s="2997"/>
      <c r="P12" s="2997"/>
      <c r="Q12" s="2997"/>
      <c r="R12" s="2997"/>
      <c r="S12" s="2997"/>
      <c r="T12" s="2997"/>
    </row>
    <row r="13" spans="8:20" x14ac:dyDescent="0.35">
      <c r="I13" s="261"/>
      <c r="J13" s="261"/>
      <c r="K13" s="2997" t="s">
        <v>450</v>
      </c>
      <c r="L13" s="2997"/>
      <c r="M13" s="2997"/>
      <c r="N13" s="2997"/>
      <c r="O13" s="2997"/>
      <c r="P13" s="2997"/>
      <c r="Q13" s="2997"/>
      <c r="R13" s="2997"/>
      <c r="S13" s="2997"/>
      <c r="T13" s="2997"/>
    </row>
    <row r="14" spans="8:20" x14ac:dyDescent="0.35">
      <c r="I14" s="261"/>
      <c r="J14" s="2997" t="s">
        <v>449</v>
      </c>
      <c r="K14" s="2997"/>
      <c r="L14" s="2997"/>
      <c r="M14" s="2997"/>
      <c r="N14" s="2997"/>
      <c r="O14" s="2997"/>
      <c r="P14" s="2997"/>
      <c r="Q14" s="2997"/>
      <c r="R14" s="2997"/>
      <c r="S14" s="2997"/>
      <c r="T14" s="2997"/>
    </row>
    <row r="15" spans="8:20" x14ac:dyDescent="0.35">
      <c r="I15" s="261"/>
      <c r="J15" s="261"/>
      <c r="K15" s="2997" t="s">
        <v>448</v>
      </c>
      <c r="L15" s="2997"/>
      <c r="M15" s="2997"/>
      <c r="N15" s="2997"/>
      <c r="O15" s="2997"/>
      <c r="P15" s="2997"/>
      <c r="Q15" s="2997"/>
      <c r="R15" s="2997"/>
      <c r="S15" s="2997"/>
      <c r="T15" s="2997"/>
    </row>
    <row r="16" spans="8:20" x14ac:dyDescent="0.25">
      <c r="H16" s="387" t="s">
        <v>617</v>
      </c>
      <c r="I16" s="873"/>
      <c r="K16" s="3258" t="s">
        <v>893</v>
      </c>
      <c r="L16" s="3259"/>
      <c r="M16" s="3259"/>
      <c r="N16" s="3259"/>
      <c r="O16" s="3259"/>
      <c r="P16" s="3259"/>
      <c r="Q16" s="3259"/>
      <c r="R16" s="3259"/>
      <c r="S16" s="3259"/>
      <c r="T16" s="3259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2997" t="s">
        <v>446</v>
      </c>
      <c r="L19" s="2997"/>
      <c r="M19" s="2997"/>
      <c r="N19" s="2997"/>
      <c r="O19" s="2997"/>
      <c r="P19" s="2997"/>
      <c r="Q19" s="2997"/>
      <c r="R19" s="2997"/>
      <c r="S19" s="2997"/>
      <c r="T19" s="2997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2997" t="s">
        <v>842</v>
      </c>
      <c r="L21" s="2997"/>
      <c r="M21" s="2997"/>
      <c r="N21" s="2997"/>
      <c r="O21" s="2997"/>
      <c r="P21" s="2997"/>
      <c r="Q21" s="2997"/>
      <c r="R21" s="2997"/>
      <c r="S21" s="2997"/>
      <c r="T21" s="2997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2998" t="s">
        <v>629</v>
      </c>
      <c r="B25" s="2998"/>
      <c r="C25" s="2998"/>
      <c r="D25" s="2998"/>
      <c r="E25" s="2998"/>
      <c r="F25" s="2998"/>
      <c r="G25" s="2998"/>
      <c r="H25" s="2998"/>
      <c r="I25" s="2998"/>
      <c r="J25" s="2998"/>
      <c r="K25" s="2998"/>
      <c r="L25" s="2998"/>
      <c r="M25" s="2998"/>
      <c r="N25" s="2998"/>
      <c r="O25" s="2998"/>
      <c r="P25" s="2998"/>
      <c r="Q25" s="2998"/>
      <c r="R25" s="2998"/>
      <c r="S25" s="2998"/>
      <c r="T25" s="971"/>
    </row>
    <row r="26" spans="1:20" ht="17.5" customHeight="1" x14ac:dyDescent="0.35">
      <c r="A26" s="2998" t="s">
        <v>793</v>
      </c>
      <c r="B26" s="2998"/>
      <c r="C26" s="2998"/>
      <c r="D26" s="2998"/>
      <c r="E26" s="2998"/>
      <c r="F26" s="2998"/>
      <c r="G26" s="2998"/>
      <c r="H26" s="2998"/>
      <c r="I26" s="2998"/>
      <c r="J26" s="2998"/>
      <c r="K26" s="2998"/>
      <c r="L26" s="2998"/>
      <c r="M26" s="2998"/>
      <c r="N26" s="2998"/>
      <c r="O26" s="2998"/>
      <c r="P26" s="2998"/>
      <c r="Q26" s="2998"/>
      <c r="R26" s="2998"/>
      <c r="S26" s="2998"/>
      <c r="T26" s="971"/>
    </row>
    <row r="27" spans="1:20" ht="17.5" hidden="1" x14ac:dyDescent="0.35">
      <c r="A27" s="2998" t="s">
        <v>794</v>
      </c>
      <c r="B27" s="2998"/>
      <c r="C27" s="2998"/>
      <c r="D27" s="2998"/>
      <c r="E27" s="2998"/>
      <c r="F27" s="2998"/>
      <c r="G27" s="2998"/>
      <c r="H27" s="2998"/>
      <c r="I27" s="2998"/>
      <c r="J27" s="2998"/>
      <c r="K27" s="2998"/>
      <c r="L27" s="2998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2998" t="s">
        <v>943</v>
      </c>
      <c r="B28" s="2998"/>
      <c r="C28" s="2998"/>
      <c r="D28" s="2998"/>
      <c r="E28" s="2998"/>
      <c r="F28" s="2998"/>
      <c r="G28" s="2998"/>
      <c r="H28" s="2998"/>
      <c r="I28" s="2998"/>
      <c r="J28" s="2998"/>
      <c r="K28" s="2998"/>
      <c r="L28" s="2998"/>
      <c r="M28" s="2998"/>
      <c r="N28" s="2998"/>
      <c r="O28" s="2998"/>
      <c r="P28" s="2998"/>
      <c r="Q28" s="2998"/>
      <c r="R28" s="2998"/>
      <c r="S28" s="2998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999" t="s">
        <v>631</v>
      </c>
      <c r="T29" s="2999"/>
    </row>
    <row r="30" spans="1:20" ht="15" x14ac:dyDescent="0.3">
      <c r="A30" s="3025" t="s">
        <v>632</v>
      </c>
      <c r="B30" s="3026"/>
      <c r="C30" s="3027"/>
      <c r="D30" s="3063" t="s">
        <v>633</v>
      </c>
      <c r="E30" s="3064"/>
      <c r="F30" s="3064"/>
      <c r="G30" s="3064"/>
      <c r="H30" s="3064"/>
      <c r="I30" s="3064"/>
      <c r="J30" s="3065"/>
      <c r="K30" s="3063" t="s">
        <v>843</v>
      </c>
      <c r="L30" s="3065"/>
      <c r="M30" s="3251" t="s">
        <v>635</v>
      </c>
      <c r="N30" s="3253" t="s">
        <v>636</v>
      </c>
      <c r="O30" s="3253" t="s">
        <v>637</v>
      </c>
      <c r="P30" s="3251" t="s">
        <v>638</v>
      </c>
      <c r="Q30" s="3255" t="s">
        <v>639</v>
      </c>
      <c r="R30" s="3063" t="s">
        <v>894</v>
      </c>
      <c r="S30" s="3065"/>
      <c r="T30" s="3015" t="s">
        <v>640</v>
      </c>
    </row>
    <row r="31" spans="1:20" thickBot="1" x14ac:dyDescent="0.35">
      <c r="A31" s="3028" t="s">
        <v>641</v>
      </c>
      <c r="B31" s="3029"/>
      <c r="C31" s="3030"/>
      <c r="D31" s="3066"/>
      <c r="E31" s="3067"/>
      <c r="F31" s="3067"/>
      <c r="G31" s="3067"/>
      <c r="H31" s="3067"/>
      <c r="I31" s="3067"/>
      <c r="J31" s="3068"/>
      <c r="K31" s="3066"/>
      <c r="L31" s="3068"/>
      <c r="M31" s="3252"/>
      <c r="N31" s="3254"/>
      <c r="O31" s="3254"/>
      <c r="P31" s="3252"/>
      <c r="Q31" s="3256"/>
      <c r="R31" s="3066"/>
      <c r="S31" s="3068"/>
      <c r="T31" s="3018"/>
    </row>
    <row r="32" spans="1:20" ht="15.65" customHeight="1" x14ac:dyDescent="0.3">
      <c r="A32" s="3025" t="s">
        <v>642</v>
      </c>
      <c r="B32" s="3026"/>
      <c r="C32" s="3027"/>
      <c r="D32" s="3031" t="s">
        <v>643</v>
      </c>
      <c r="E32" s="3032"/>
      <c r="F32" s="3032"/>
      <c r="G32" s="3032"/>
      <c r="H32" s="3032"/>
      <c r="I32" s="3032"/>
      <c r="J32" s="3033"/>
      <c r="K32" s="3265">
        <f>K34+K45+K51+K57+K76+K82+K98+K41+K38+K94</f>
        <v>78243.179999999993</v>
      </c>
      <c r="L32" s="3266"/>
      <c r="M32" s="3257">
        <v>17235.358</v>
      </c>
      <c r="N32" s="3257"/>
      <c r="O32" s="3257"/>
      <c r="P32" s="3257">
        <f>P34+P45+P51+P57+P76+P82+P98</f>
        <v>21212.394</v>
      </c>
      <c r="Q32" s="3257">
        <v>20829</v>
      </c>
      <c r="R32" s="3265">
        <f>R34+R45+R51+R57+R76+R82+R98+R41+R38+R94</f>
        <v>82838.281000000017</v>
      </c>
      <c r="S32" s="3266"/>
      <c r="T32" s="971"/>
    </row>
    <row r="33" spans="1:24" ht="13.9" customHeight="1" thickBot="1" x14ac:dyDescent="0.35">
      <c r="A33" s="3028"/>
      <c r="B33" s="3029"/>
      <c r="C33" s="3030"/>
      <c r="D33" s="3034"/>
      <c r="E33" s="3035"/>
      <c r="F33" s="3035"/>
      <c r="G33" s="3035"/>
      <c r="H33" s="3035"/>
      <c r="I33" s="3035"/>
      <c r="J33" s="3036"/>
      <c r="K33" s="3267"/>
      <c r="L33" s="3268"/>
      <c r="M33" s="3257"/>
      <c r="N33" s="3257"/>
      <c r="O33" s="3257"/>
      <c r="P33" s="3257"/>
      <c r="Q33" s="3257"/>
      <c r="R33" s="3267"/>
      <c r="S33" s="3268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265">
        <f>K36</f>
        <v>30570.5</v>
      </c>
      <c r="L34" s="3266"/>
      <c r="M34" s="3257">
        <v>4523.7</v>
      </c>
      <c r="N34" s="3257"/>
      <c r="O34" s="3257"/>
      <c r="P34" s="3257">
        <f>P36</f>
        <v>5592.7</v>
      </c>
      <c r="Q34" s="3260">
        <v>4938.4639999999999</v>
      </c>
      <c r="R34" s="3265">
        <f>R36</f>
        <v>32404.7</v>
      </c>
      <c r="S34" s="3266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267"/>
      <c r="L35" s="3268"/>
      <c r="M35" s="3257"/>
      <c r="N35" s="3257"/>
      <c r="O35" s="3257"/>
      <c r="P35" s="3257"/>
      <c r="Q35" s="3260"/>
      <c r="R35" s="3267"/>
      <c r="S35" s="3268"/>
      <c r="T35" s="971"/>
      <c r="X35" s="874" t="s">
        <v>106</v>
      </c>
    </row>
    <row r="36" spans="1:24" ht="13.9" customHeight="1" x14ac:dyDescent="0.35">
      <c r="A36" s="3012" t="s">
        <v>647</v>
      </c>
      <c r="B36" s="3013"/>
      <c r="C36" s="3014"/>
      <c r="D36" s="982"/>
      <c r="E36" s="983"/>
      <c r="F36" s="983"/>
      <c r="G36" s="983"/>
      <c r="H36" s="983"/>
      <c r="I36" s="983"/>
      <c r="J36" s="984"/>
      <c r="K36" s="3261">
        <v>30570.5</v>
      </c>
      <c r="L36" s="3262"/>
      <c r="M36" s="3257">
        <v>4523.7</v>
      </c>
      <c r="N36" s="3257">
        <v>534.5</v>
      </c>
      <c r="O36" s="3257">
        <v>534.5</v>
      </c>
      <c r="P36" s="3257">
        <f>M36+N36+O36</f>
        <v>5592.7</v>
      </c>
      <c r="Q36" s="3260">
        <v>4938.4639999999999</v>
      </c>
      <c r="R36" s="3261">
        <v>32404.7</v>
      </c>
      <c r="S36" s="3262"/>
      <c r="T36" s="971"/>
    </row>
    <row r="37" spans="1:24" ht="16.149999999999999" customHeight="1" thickBot="1" x14ac:dyDescent="0.4">
      <c r="A37" s="3006"/>
      <c r="B37" s="2999"/>
      <c r="C37" s="3007"/>
      <c r="D37" s="985" t="s">
        <v>648</v>
      </c>
      <c r="E37" s="986"/>
      <c r="F37" s="986"/>
      <c r="G37" s="986"/>
      <c r="H37" s="986"/>
      <c r="I37" s="986"/>
      <c r="J37" s="987"/>
      <c r="K37" s="3263"/>
      <c r="L37" s="3264"/>
      <c r="M37" s="3257"/>
      <c r="N37" s="3257"/>
      <c r="O37" s="3257"/>
      <c r="P37" s="3257"/>
      <c r="Q37" s="3260"/>
      <c r="R37" s="3263"/>
      <c r="S37" s="3264"/>
      <c r="T37" s="971"/>
    </row>
    <row r="38" spans="1:24" ht="15.65" customHeight="1" x14ac:dyDescent="0.3">
      <c r="A38" s="3063" t="s">
        <v>649</v>
      </c>
      <c r="B38" s="3064"/>
      <c r="C38" s="3065"/>
      <c r="D38" s="3274" t="s">
        <v>650</v>
      </c>
      <c r="E38" s="3275"/>
      <c r="F38" s="3275"/>
      <c r="G38" s="3275"/>
      <c r="H38" s="3275"/>
      <c r="I38" s="3275"/>
      <c r="J38" s="3276"/>
      <c r="K38" s="3265">
        <f>K40</f>
        <v>822</v>
      </c>
      <c r="L38" s="3266"/>
      <c r="M38" s="3257">
        <v>9794</v>
      </c>
      <c r="N38" s="3257"/>
      <c r="O38" s="3257"/>
      <c r="P38" s="3257" t="e">
        <f>#REF!+P41+P42</f>
        <v>#REF!</v>
      </c>
      <c r="Q38" s="3260">
        <v>12087.288329999999</v>
      </c>
      <c r="R38" s="3265">
        <f>R40</f>
        <v>822</v>
      </c>
      <c r="S38" s="3266"/>
      <c r="T38" s="971"/>
    </row>
    <row r="39" spans="1:24" ht="16.149999999999999" customHeight="1" thickBot="1" x14ac:dyDescent="0.35">
      <c r="A39" s="3066"/>
      <c r="B39" s="3067"/>
      <c r="C39" s="3068"/>
      <c r="D39" s="3277"/>
      <c r="E39" s="3278"/>
      <c r="F39" s="3278"/>
      <c r="G39" s="3278"/>
      <c r="H39" s="3278"/>
      <c r="I39" s="3278"/>
      <c r="J39" s="3279"/>
      <c r="K39" s="3267"/>
      <c r="L39" s="3268"/>
      <c r="M39" s="3257"/>
      <c r="N39" s="3257"/>
      <c r="O39" s="3257"/>
      <c r="P39" s="3257"/>
      <c r="Q39" s="3260"/>
      <c r="R39" s="3267"/>
      <c r="S39" s="3268"/>
      <c r="T39" s="971"/>
    </row>
    <row r="40" spans="1:24" ht="31.15" customHeight="1" thickBot="1" x14ac:dyDescent="0.4">
      <c r="A40" s="3049" t="s">
        <v>651</v>
      </c>
      <c r="B40" s="3050"/>
      <c r="C40" s="3051"/>
      <c r="D40" s="3271" t="s">
        <v>652</v>
      </c>
      <c r="E40" s="3272"/>
      <c r="F40" s="3272"/>
      <c r="G40" s="3272"/>
      <c r="H40" s="3272"/>
      <c r="I40" s="3272"/>
      <c r="J40" s="3273"/>
      <c r="K40" s="3269">
        <v>822</v>
      </c>
      <c r="L40" s="3270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269">
        <v>822</v>
      </c>
      <c r="S40" s="3270"/>
      <c r="T40" s="971"/>
    </row>
    <row r="41" spans="1:24" ht="15.65" customHeight="1" x14ac:dyDescent="0.3">
      <c r="A41" s="3063" t="s">
        <v>653</v>
      </c>
      <c r="B41" s="3064"/>
      <c r="C41" s="3065"/>
      <c r="D41" s="3084" t="s">
        <v>654</v>
      </c>
      <c r="E41" s="3085"/>
      <c r="F41" s="3085"/>
      <c r="G41" s="3085"/>
      <c r="H41" s="3085"/>
      <c r="I41" s="3085"/>
      <c r="J41" s="3086"/>
      <c r="K41" s="3265">
        <f>K44</f>
        <v>76</v>
      </c>
      <c r="L41" s="3266"/>
      <c r="M41" s="3257">
        <v>9794</v>
      </c>
      <c r="N41" s="3257"/>
      <c r="O41" s="3257"/>
      <c r="P41" s="3257">
        <f>P44+P45+P46</f>
        <v>11948</v>
      </c>
      <c r="Q41" s="3260">
        <v>12087.288329999999</v>
      </c>
      <c r="R41" s="3265">
        <f>R44</f>
        <v>80.599999999999994</v>
      </c>
      <c r="S41" s="3266"/>
      <c r="T41" s="971"/>
    </row>
    <row r="42" spans="1:24" ht="16.149999999999999" customHeight="1" thickBot="1" x14ac:dyDescent="0.35">
      <c r="A42" s="3066"/>
      <c r="B42" s="3067"/>
      <c r="C42" s="3068"/>
      <c r="D42" s="3087"/>
      <c r="E42" s="3088"/>
      <c r="F42" s="3088"/>
      <c r="G42" s="3088"/>
      <c r="H42" s="3088"/>
      <c r="I42" s="3088"/>
      <c r="J42" s="3089"/>
      <c r="K42" s="3267"/>
      <c r="L42" s="3268"/>
      <c r="M42" s="3257"/>
      <c r="N42" s="3257"/>
      <c r="O42" s="3257"/>
      <c r="P42" s="3257"/>
      <c r="Q42" s="3260"/>
      <c r="R42" s="3267"/>
      <c r="S42" s="3268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3008" t="s">
        <v>655</v>
      </c>
      <c r="B44" s="3080"/>
      <c r="C44" s="3009"/>
      <c r="D44" s="3081" t="s">
        <v>656</v>
      </c>
      <c r="E44" s="3082"/>
      <c r="F44" s="3082"/>
      <c r="G44" s="3082"/>
      <c r="H44" s="3082"/>
      <c r="I44" s="3082"/>
      <c r="J44" s="3083"/>
      <c r="K44" s="3269">
        <v>76</v>
      </c>
      <c r="L44" s="3270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269">
        <v>80.599999999999994</v>
      </c>
      <c r="S44" s="3270"/>
      <c r="T44" s="971"/>
    </row>
    <row r="45" spans="1:24" ht="15.65" customHeight="1" x14ac:dyDescent="0.3">
      <c r="A45" s="3063" t="s">
        <v>657</v>
      </c>
      <c r="B45" s="3064"/>
      <c r="C45" s="3065"/>
      <c r="D45" s="3084" t="s">
        <v>658</v>
      </c>
      <c r="E45" s="3085"/>
      <c r="F45" s="3085"/>
      <c r="G45" s="3085"/>
      <c r="H45" s="3085"/>
      <c r="I45" s="3085"/>
      <c r="J45" s="3086"/>
      <c r="K45" s="3265">
        <f>K48+K50+K49</f>
        <v>44852.9</v>
      </c>
      <c r="L45" s="3266"/>
      <c r="M45" s="3257">
        <v>9794</v>
      </c>
      <c r="N45" s="3257"/>
      <c r="O45" s="3257"/>
      <c r="P45" s="3257">
        <f>P48+P49+P50</f>
        <v>11824</v>
      </c>
      <c r="Q45" s="3260">
        <v>12087.288329999999</v>
      </c>
      <c r="R45" s="3265">
        <f>R48+R50+R49</f>
        <v>47544.1</v>
      </c>
      <c r="S45" s="3266"/>
      <c r="T45" s="971"/>
    </row>
    <row r="46" spans="1:24" ht="16.149999999999999" customHeight="1" thickBot="1" x14ac:dyDescent="0.35">
      <c r="A46" s="3066"/>
      <c r="B46" s="3067"/>
      <c r="C46" s="3068"/>
      <c r="D46" s="3087"/>
      <c r="E46" s="3088"/>
      <c r="F46" s="3088"/>
      <c r="G46" s="3088"/>
      <c r="H46" s="3088"/>
      <c r="I46" s="3088"/>
      <c r="J46" s="3089"/>
      <c r="K46" s="3267"/>
      <c r="L46" s="3268"/>
      <c r="M46" s="3257"/>
      <c r="N46" s="3257"/>
      <c r="O46" s="3257"/>
      <c r="P46" s="3257"/>
      <c r="Q46" s="3260"/>
      <c r="R46" s="3267"/>
      <c r="S46" s="3268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3008" t="s">
        <v>659</v>
      </c>
      <c r="B48" s="3080"/>
      <c r="C48" s="3009"/>
      <c r="D48" s="972" t="s">
        <v>660</v>
      </c>
      <c r="E48" s="975"/>
      <c r="F48" s="975"/>
      <c r="G48" s="975"/>
      <c r="H48" s="975"/>
      <c r="I48" s="975"/>
      <c r="J48" s="974"/>
      <c r="K48" s="3269">
        <v>7392.9</v>
      </c>
      <c r="L48" s="3270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269">
        <v>7836.5</v>
      </c>
      <c r="S48" s="3270"/>
      <c r="T48" s="971"/>
    </row>
    <row r="49" spans="1:20" ht="15.65" hidden="1" customHeight="1" thickBot="1" x14ac:dyDescent="0.4">
      <c r="A49" s="3008" t="s">
        <v>661</v>
      </c>
      <c r="B49" s="3080"/>
      <c r="C49" s="3009"/>
      <c r="D49" s="996" t="s">
        <v>662</v>
      </c>
      <c r="E49" s="997"/>
      <c r="F49" s="997"/>
      <c r="G49" s="997"/>
      <c r="H49" s="997"/>
      <c r="I49" s="997"/>
      <c r="J49" s="998"/>
      <c r="K49" s="3269"/>
      <c r="L49" s="3270"/>
      <c r="M49" s="1015"/>
      <c r="N49" s="1015"/>
      <c r="O49" s="1015"/>
      <c r="P49" s="1015"/>
      <c r="Q49" s="1016"/>
      <c r="R49" s="3269"/>
      <c r="S49" s="3270"/>
      <c r="T49" s="971"/>
    </row>
    <row r="50" spans="1:20" ht="16" thickBot="1" x14ac:dyDescent="0.4">
      <c r="A50" s="3008" t="s">
        <v>663</v>
      </c>
      <c r="B50" s="3080"/>
      <c r="C50" s="3009"/>
      <c r="D50" s="972" t="s">
        <v>664</v>
      </c>
      <c r="E50" s="975"/>
      <c r="F50" s="975"/>
      <c r="G50" s="975"/>
      <c r="H50" s="975"/>
      <c r="I50" s="975"/>
      <c r="J50" s="974"/>
      <c r="K50" s="3269">
        <v>37460</v>
      </c>
      <c r="L50" s="3270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269">
        <v>39707.599999999999</v>
      </c>
      <c r="S50" s="3270"/>
      <c r="T50" s="971"/>
    </row>
    <row r="51" spans="1:20" ht="15.65" customHeight="1" x14ac:dyDescent="0.3">
      <c r="A51" s="3063" t="s">
        <v>665</v>
      </c>
      <c r="B51" s="3064"/>
      <c r="C51" s="3065"/>
      <c r="D51" s="3084" t="s">
        <v>666</v>
      </c>
      <c r="E51" s="3085"/>
      <c r="F51" s="3085"/>
      <c r="G51" s="3085"/>
      <c r="H51" s="3085"/>
      <c r="I51" s="3085"/>
      <c r="J51" s="3086"/>
      <c r="K51" s="3265">
        <f>K53</f>
        <v>6</v>
      </c>
      <c r="L51" s="3266"/>
      <c r="M51" s="3257">
        <v>17</v>
      </c>
      <c r="N51" s="3257"/>
      <c r="O51" s="3257"/>
      <c r="P51" s="3257">
        <f>M51+N51+O51</f>
        <v>17</v>
      </c>
      <c r="Q51" s="3257">
        <v>3.9649999999999999</v>
      </c>
      <c r="R51" s="3265">
        <f>R53</f>
        <v>7</v>
      </c>
      <c r="S51" s="3266"/>
      <c r="T51" s="971"/>
    </row>
    <row r="52" spans="1:20" ht="13.9" customHeight="1" thickBot="1" x14ac:dyDescent="0.35">
      <c r="A52" s="3066"/>
      <c r="B52" s="3067"/>
      <c r="C52" s="3068"/>
      <c r="D52" s="3087"/>
      <c r="E52" s="3088"/>
      <c r="F52" s="3088"/>
      <c r="G52" s="3088"/>
      <c r="H52" s="3088"/>
      <c r="I52" s="3088"/>
      <c r="J52" s="3089"/>
      <c r="K52" s="3267"/>
      <c r="L52" s="3268"/>
      <c r="M52" s="3257"/>
      <c r="N52" s="3257"/>
      <c r="O52" s="3257"/>
      <c r="P52" s="3257"/>
      <c r="Q52" s="3257"/>
      <c r="R52" s="3267"/>
      <c r="S52" s="3268"/>
      <c r="T52" s="971"/>
    </row>
    <row r="53" spans="1:20" x14ac:dyDescent="0.35">
      <c r="A53" s="3015" t="s">
        <v>667</v>
      </c>
      <c r="B53" s="3016"/>
      <c r="C53" s="3017"/>
      <c r="D53" s="982" t="s">
        <v>668</v>
      </c>
      <c r="E53" s="983"/>
      <c r="F53" s="983"/>
      <c r="G53" s="983"/>
      <c r="H53" s="983"/>
      <c r="I53" s="983"/>
      <c r="J53" s="983"/>
      <c r="K53" s="3261">
        <v>6</v>
      </c>
      <c r="L53" s="3262"/>
      <c r="M53" s="3257">
        <v>17</v>
      </c>
      <c r="N53" s="3257"/>
      <c r="O53" s="3257"/>
      <c r="P53" s="3257">
        <f>M53+N53+O53</f>
        <v>17</v>
      </c>
      <c r="Q53" s="3257">
        <v>3.9649999999999999</v>
      </c>
      <c r="R53" s="3261">
        <v>7</v>
      </c>
      <c r="S53" s="3262"/>
      <c r="T53" s="971"/>
    </row>
    <row r="54" spans="1:20" x14ac:dyDescent="0.35">
      <c r="A54" s="3094"/>
      <c r="B54" s="3095"/>
      <c r="C54" s="3096"/>
      <c r="D54" s="996" t="s">
        <v>669</v>
      </c>
      <c r="E54" s="997"/>
      <c r="F54" s="997"/>
      <c r="G54" s="997"/>
      <c r="H54" s="997"/>
      <c r="I54" s="997"/>
      <c r="J54" s="997"/>
      <c r="K54" s="3280"/>
      <c r="L54" s="3281"/>
      <c r="M54" s="3257"/>
      <c r="N54" s="3257"/>
      <c r="O54" s="3257"/>
      <c r="P54" s="3257"/>
      <c r="Q54" s="3257"/>
      <c r="R54" s="3280"/>
      <c r="S54" s="3281"/>
      <c r="T54" s="971"/>
    </row>
    <row r="55" spans="1:20" x14ac:dyDescent="0.35">
      <c r="A55" s="3094"/>
      <c r="B55" s="3095"/>
      <c r="C55" s="3096"/>
      <c r="D55" s="996" t="s">
        <v>670</v>
      </c>
      <c r="E55" s="997"/>
      <c r="F55" s="997"/>
      <c r="G55" s="997"/>
      <c r="H55" s="997"/>
      <c r="I55" s="997"/>
      <c r="J55" s="997"/>
      <c r="K55" s="3280"/>
      <c r="L55" s="3281"/>
      <c r="M55" s="3257"/>
      <c r="N55" s="3257"/>
      <c r="O55" s="3257"/>
      <c r="P55" s="3257"/>
      <c r="Q55" s="3257"/>
      <c r="R55" s="3280"/>
      <c r="S55" s="3281"/>
      <c r="T55" s="971"/>
    </row>
    <row r="56" spans="1:20" ht="16" thickBot="1" x14ac:dyDescent="0.4">
      <c r="A56" s="3018"/>
      <c r="B56" s="3019"/>
      <c r="C56" s="3020"/>
      <c r="D56" s="985" t="s">
        <v>671</v>
      </c>
      <c r="E56" s="986"/>
      <c r="F56" s="986"/>
      <c r="G56" s="986"/>
      <c r="H56" s="986"/>
      <c r="I56" s="986"/>
      <c r="J56" s="986"/>
      <c r="K56" s="3263"/>
      <c r="L56" s="3264"/>
      <c r="M56" s="3257"/>
      <c r="N56" s="3257"/>
      <c r="O56" s="3257"/>
      <c r="P56" s="3257"/>
      <c r="Q56" s="3257"/>
      <c r="R56" s="3263"/>
      <c r="S56" s="3264"/>
      <c r="T56" s="971"/>
    </row>
    <row r="57" spans="1:20" ht="15" x14ac:dyDescent="0.3">
      <c r="A57" s="3063" t="s">
        <v>672</v>
      </c>
      <c r="B57" s="3064"/>
      <c r="C57" s="3065"/>
      <c r="D57" s="976" t="s">
        <v>673</v>
      </c>
      <c r="E57" s="977"/>
      <c r="F57" s="977"/>
      <c r="G57" s="977"/>
      <c r="H57" s="977"/>
      <c r="I57" s="977"/>
      <c r="J57" s="978"/>
      <c r="K57" s="3265">
        <f>K60+K64+K72+K68</f>
        <v>1842.78</v>
      </c>
      <c r="L57" s="3266"/>
      <c r="M57" s="3257">
        <v>2183.6579999999999</v>
      </c>
      <c r="N57" s="3257"/>
      <c r="O57" s="3257"/>
      <c r="P57" s="3257">
        <f>P60+P64+P72</f>
        <v>2913.6940000000004</v>
      </c>
      <c r="Q57" s="3257">
        <v>2859.2967100000001</v>
      </c>
      <c r="R57" s="3265">
        <f>R60+R64+R72+R68</f>
        <v>1903.681</v>
      </c>
      <c r="S57" s="3266"/>
      <c r="T57" s="971"/>
    </row>
    <row r="58" spans="1:20" ht="15" x14ac:dyDescent="0.3">
      <c r="A58" s="3101"/>
      <c r="B58" s="3102"/>
      <c r="C58" s="3103"/>
      <c r="D58" s="999" t="s">
        <v>674</v>
      </c>
      <c r="E58" s="1000"/>
      <c r="F58" s="1000"/>
      <c r="G58" s="1000"/>
      <c r="H58" s="1000"/>
      <c r="I58" s="1000"/>
      <c r="J58" s="1001"/>
      <c r="K58" s="3282"/>
      <c r="L58" s="3283"/>
      <c r="M58" s="3257"/>
      <c r="N58" s="3257"/>
      <c r="O58" s="3257"/>
      <c r="P58" s="3257"/>
      <c r="Q58" s="3257"/>
      <c r="R58" s="3282"/>
      <c r="S58" s="3283"/>
      <c r="T58" s="971"/>
    </row>
    <row r="59" spans="1:20" thickBot="1" x14ac:dyDescent="0.35">
      <c r="A59" s="3066"/>
      <c r="B59" s="3067"/>
      <c r="C59" s="3068"/>
      <c r="D59" s="979" t="s">
        <v>675</v>
      </c>
      <c r="E59" s="980"/>
      <c r="F59" s="980"/>
      <c r="G59" s="980"/>
      <c r="H59" s="980"/>
      <c r="I59" s="980"/>
      <c r="J59" s="981"/>
      <c r="K59" s="3267"/>
      <c r="L59" s="3268"/>
      <c r="M59" s="3257"/>
      <c r="N59" s="3257"/>
      <c r="O59" s="3257"/>
      <c r="P59" s="3257"/>
      <c r="Q59" s="3257"/>
      <c r="R59" s="3267"/>
      <c r="S59" s="3268"/>
      <c r="T59" s="971"/>
    </row>
    <row r="60" spans="1:20" ht="15.65" hidden="1" customHeight="1" thickBot="1" x14ac:dyDescent="0.4">
      <c r="A60" s="3015" t="s">
        <v>676</v>
      </c>
      <c r="B60" s="3016"/>
      <c r="C60" s="3017"/>
      <c r="D60" s="982" t="s">
        <v>677</v>
      </c>
      <c r="E60" s="983"/>
      <c r="F60" s="983"/>
      <c r="G60" s="983"/>
      <c r="H60" s="983"/>
      <c r="I60" s="983"/>
      <c r="J60" s="984"/>
      <c r="K60" s="3261"/>
      <c r="L60" s="3262"/>
      <c r="M60" s="3257">
        <v>1030</v>
      </c>
      <c r="N60" s="3257">
        <v>140</v>
      </c>
      <c r="O60" s="3257">
        <v>140</v>
      </c>
      <c r="P60" s="3257">
        <f>M60+N60+O60</f>
        <v>1310</v>
      </c>
      <c r="Q60" s="3257">
        <v>1430.7293099999999</v>
      </c>
      <c r="R60" s="3261"/>
      <c r="S60" s="3262"/>
      <c r="T60" s="971"/>
    </row>
    <row r="61" spans="1:20" ht="15.65" hidden="1" customHeight="1" thickBot="1" x14ac:dyDescent="0.4">
      <c r="A61" s="3094"/>
      <c r="B61" s="3095"/>
      <c r="C61" s="3096"/>
      <c r="D61" s="996" t="s">
        <v>678</v>
      </c>
      <c r="E61" s="997"/>
      <c r="F61" s="997"/>
      <c r="G61" s="997"/>
      <c r="H61" s="997"/>
      <c r="I61" s="997"/>
      <c r="J61" s="998"/>
      <c r="K61" s="3280"/>
      <c r="L61" s="3281"/>
      <c r="M61" s="3257"/>
      <c r="N61" s="3257"/>
      <c r="O61" s="3257"/>
      <c r="P61" s="3257"/>
      <c r="Q61" s="3257"/>
      <c r="R61" s="3280"/>
      <c r="S61" s="3281"/>
      <c r="T61" s="971"/>
    </row>
    <row r="62" spans="1:20" ht="15.65" hidden="1" customHeight="1" thickBot="1" x14ac:dyDescent="0.4">
      <c r="A62" s="3094"/>
      <c r="B62" s="3095"/>
      <c r="C62" s="3096"/>
      <c r="D62" s="996" t="s">
        <v>679</v>
      </c>
      <c r="E62" s="997"/>
      <c r="F62" s="997"/>
      <c r="G62" s="997"/>
      <c r="H62" s="997"/>
      <c r="I62" s="997"/>
      <c r="J62" s="998"/>
      <c r="K62" s="3280"/>
      <c r="L62" s="3281"/>
      <c r="M62" s="3257"/>
      <c r="N62" s="3257"/>
      <c r="O62" s="3257"/>
      <c r="P62" s="3257"/>
      <c r="Q62" s="3257"/>
      <c r="R62" s="3280"/>
      <c r="S62" s="3281"/>
      <c r="T62" s="971"/>
    </row>
    <row r="63" spans="1:20" ht="15.65" hidden="1" customHeight="1" thickBot="1" x14ac:dyDescent="0.4">
      <c r="A63" s="3018"/>
      <c r="B63" s="3019"/>
      <c r="C63" s="3020"/>
      <c r="D63" s="985" t="s">
        <v>680</v>
      </c>
      <c r="E63" s="986"/>
      <c r="F63" s="986"/>
      <c r="G63" s="986"/>
      <c r="H63" s="986"/>
      <c r="I63" s="986"/>
      <c r="J63" s="987"/>
      <c r="K63" s="3263"/>
      <c r="L63" s="3264"/>
      <c r="M63" s="3257"/>
      <c r="N63" s="3257"/>
      <c r="O63" s="3257"/>
      <c r="P63" s="3257"/>
      <c r="Q63" s="3257"/>
      <c r="R63" s="3263"/>
      <c r="S63" s="3264"/>
      <c r="T63" s="971"/>
    </row>
    <row r="64" spans="1:20" ht="15.65" hidden="1" customHeight="1" thickBot="1" x14ac:dyDescent="0.4">
      <c r="A64" s="3015" t="s">
        <v>681</v>
      </c>
      <c r="B64" s="3016"/>
      <c r="C64" s="3017"/>
      <c r="D64" s="982" t="s">
        <v>682</v>
      </c>
      <c r="E64" s="983"/>
      <c r="F64" s="983"/>
      <c r="G64" s="983"/>
      <c r="H64" s="983"/>
      <c r="I64" s="983"/>
      <c r="J64" s="984"/>
      <c r="K64" s="3261"/>
      <c r="L64" s="3262"/>
      <c r="M64" s="3257">
        <v>928.55</v>
      </c>
      <c r="N64" s="3257">
        <v>200</v>
      </c>
      <c r="O64" s="3257">
        <v>200</v>
      </c>
      <c r="P64" s="3257">
        <f>M64+N64+O64</f>
        <v>1328.55</v>
      </c>
      <c r="Q64" s="3257">
        <v>1007.7294000000001</v>
      </c>
      <c r="R64" s="3261"/>
      <c r="S64" s="3262"/>
      <c r="T64" s="971"/>
    </row>
    <row r="65" spans="1:20" ht="14.25" hidden="1" customHeight="1" x14ac:dyDescent="0.35">
      <c r="A65" s="3094"/>
      <c r="B65" s="3095"/>
      <c r="C65" s="3096"/>
      <c r="D65" s="996" t="s">
        <v>683</v>
      </c>
      <c r="E65" s="997"/>
      <c r="F65" s="997"/>
      <c r="G65" s="997"/>
      <c r="H65" s="997"/>
      <c r="I65" s="997"/>
      <c r="J65" s="998"/>
      <c r="K65" s="3280"/>
      <c r="L65" s="3281"/>
      <c r="M65" s="3257"/>
      <c r="N65" s="3257"/>
      <c r="O65" s="3257"/>
      <c r="P65" s="3257"/>
      <c r="Q65" s="3257"/>
      <c r="R65" s="3280"/>
      <c r="S65" s="3281"/>
      <c r="T65" s="971"/>
    </row>
    <row r="66" spans="1:20" ht="15.75" hidden="1" customHeight="1" x14ac:dyDescent="0.35">
      <c r="A66" s="3094"/>
      <c r="B66" s="3095"/>
      <c r="C66" s="3096"/>
      <c r="D66" s="996" t="s">
        <v>684</v>
      </c>
      <c r="E66" s="997"/>
      <c r="F66" s="997"/>
      <c r="G66" s="997"/>
      <c r="H66" s="997"/>
      <c r="I66" s="997"/>
      <c r="J66" s="998"/>
      <c r="K66" s="3280"/>
      <c r="L66" s="3281"/>
      <c r="M66" s="3257"/>
      <c r="N66" s="3257"/>
      <c r="O66" s="3257"/>
      <c r="P66" s="3257"/>
      <c r="Q66" s="3257"/>
      <c r="R66" s="3280"/>
      <c r="S66" s="3281"/>
      <c r="T66" s="971"/>
    </row>
    <row r="67" spans="1:20" ht="15.75" hidden="1" customHeight="1" thickBot="1" x14ac:dyDescent="0.4">
      <c r="A67" s="3018"/>
      <c r="B67" s="3019"/>
      <c r="C67" s="3020"/>
      <c r="D67" s="985" t="s">
        <v>685</v>
      </c>
      <c r="E67" s="986"/>
      <c r="F67" s="986"/>
      <c r="G67" s="986"/>
      <c r="H67" s="986"/>
      <c r="I67" s="986"/>
      <c r="J67" s="987"/>
      <c r="K67" s="3263"/>
      <c r="L67" s="3264"/>
      <c r="M67" s="3257"/>
      <c r="N67" s="3257"/>
      <c r="O67" s="3257"/>
      <c r="P67" s="3257"/>
      <c r="Q67" s="3257"/>
      <c r="R67" s="3263"/>
      <c r="S67" s="3264"/>
      <c r="T67" s="971"/>
    </row>
    <row r="68" spans="1:20" x14ac:dyDescent="0.35">
      <c r="A68" s="3015" t="s">
        <v>686</v>
      </c>
      <c r="B68" s="3016"/>
      <c r="C68" s="3017"/>
      <c r="D68" s="1002"/>
      <c r="E68" s="997"/>
      <c r="F68" s="997"/>
      <c r="G68" s="997"/>
      <c r="H68" s="997"/>
      <c r="I68" s="997"/>
      <c r="J68" s="998"/>
      <c r="K68" s="3261">
        <v>851.68</v>
      </c>
      <c r="L68" s="3262"/>
      <c r="M68" s="3257">
        <v>928.55</v>
      </c>
      <c r="N68" s="3257">
        <v>200</v>
      </c>
      <c r="O68" s="3257">
        <v>200</v>
      </c>
      <c r="P68" s="3257">
        <f>M68+N68+O68</f>
        <v>1328.55</v>
      </c>
      <c r="Q68" s="3257">
        <v>1007.7294000000001</v>
      </c>
      <c r="R68" s="3261">
        <v>853.08100000000002</v>
      </c>
      <c r="S68" s="3262"/>
      <c r="T68" s="971"/>
    </row>
    <row r="69" spans="1:20" ht="14.25" customHeight="1" x14ac:dyDescent="0.35">
      <c r="A69" s="3094"/>
      <c r="B69" s="3095"/>
      <c r="C69" s="3096"/>
      <c r="D69" s="997" t="s">
        <v>687</v>
      </c>
      <c r="E69" s="997"/>
      <c r="F69" s="997"/>
      <c r="G69" s="997"/>
      <c r="H69" s="997"/>
      <c r="I69" s="997"/>
      <c r="J69" s="998"/>
      <c r="K69" s="3280"/>
      <c r="L69" s="3281"/>
      <c r="M69" s="3257"/>
      <c r="N69" s="3257"/>
      <c r="O69" s="3257"/>
      <c r="P69" s="3257"/>
      <c r="Q69" s="3257"/>
      <c r="R69" s="3280"/>
      <c r="S69" s="3281"/>
      <c r="T69" s="971"/>
    </row>
    <row r="70" spans="1:20" ht="15.75" customHeight="1" x14ac:dyDescent="0.35">
      <c r="A70" s="3094"/>
      <c r="B70" s="3095"/>
      <c r="C70" s="3096"/>
      <c r="D70" s="997" t="s">
        <v>688</v>
      </c>
      <c r="E70" s="997"/>
      <c r="F70" s="997"/>
      <c r="G70" s="997"/>
      <c r="H70" s="997"/>
      <c r="I70" s="997"/>
      <c r="J70" s="998"/>
      <c r="K70" s="3280"/>
      <c r="L70" s="3281"/>
      <c r="M70" s="3257"/>
      <c r="N70" s="3257"/>
      <c r="O70" s="3257"/>
      <c r="P70" s="3257"/>
      <c r="Q70" s="3257"/>
      <c r="R70" s="3280"/>
      <c r="S70" s="3281"/>
      <c r="T70" s="971"/>
    </row>
    <row r="71" spans="1:20" ht="15.75" customHeight="1" thickBot="1" x14ac:dyDescent="0.4">
      <c r="A71" s="3018"/>
      <c r="B71" s="3019"/>
      <c r="C71" s="3020"/>
      <c r="D71" s="986"/>
      <c r="E71" s="986"/>
      <c r="F71" s="986"/>
      <c r="G71" s="986"/>
      <c r="H71" s="986"/>
      <c r="I71" s="986"/>
      <c r="J71" s="987"/>
      <c r="K71" s="3263"/>
      <c r="L71" s="3264"/>
      <c r="M71" s="3257"/>
      <c r="N71" s="3257"/>
      <c r="O71" s="3257"/>
      <c r="P71" s="3257"/>
      <c r="Q71" s="3257"/>
      <c r="R71" s="3263"/>
      <c r="S71" s="3264"/>
      <c r="T71" s="971"/>
    </row>
    <row r="72" spans="1:20" ht="15" customHeight="1" x14ac:dyDescent="0.35">
      <c r="A72" s="3015" t="s">
        <v>689</v>
      </c>
      <c r="B72" s="3016"/>
      <c r="C72" s="3017"/>
      <c r="D72" s="982" t="s">
        <v>690</v>
      </c>
      <c r="E72" s="983"/>
      <c r="F72" s="983"/>
      <c r="G72" s="983"/>
      <c r="H72" s="983"/>
      <c r="I72" s="983"/>
      <c r="J72" s="984"/>
      <c r="K72" s="3261">
        <v>991.1</v>
      </c>
      <c r="L72" s="3262"/>
      <c r="M72" s="3284">
        <v>225.108</v>
      </c>
      <c r="N72" s="3287">
        <f>24.9+0.118</f>
        <v>25.017999999999997</v>
      </c>
      <c r="O72" s="3287">
        <v>25.018000000000001</v>
      </c>
      <c r="P72" s="3287">
        <f>M72+N72+O72</f>
        <v>275.14400000000001</v>
      </c>
      <c r="Q72" s="3287">
        <v>420.83800000000002</v>
      </c>
      <c r="R72" s="3261">
        <v>1050.5999999999999</v>
      </c>
      <c r="S72" s="3262"/>
      <c r="T72" s="971"/>
    </row>
    <row r="73" spans="1:20" ht="13.15" customHeight="1" x14ac:dyDescent="0.35">
      <c r="A73" s="3094"/>
      <c r="B73" s="3095"/>
      <c r="C73" s="3096"/>
      <c r="D73" s="996" t="s">
        <v>691</v>
      </c>
      <c r="E73" s="997"/>
      <c r="F73" s="997"/>
      <c r="G73" s="997"/>
      <c r="H73" s="997"/>
      <c r="I73" s="997"/>
      <c r="J73" s="998"/>
      <c r="K73" s="3280"/>
      <c r="L73" s="3281"/>
      <c r="M73" s="3285"/>
      <c r="N73" s="3288"/>
      <c r="O73" s="3288"/>
      <c r="P73" s="3288"/>
      <c r="Q73" s="3288"/>
      <c r="R73" s="3280"/>
      <c r="S73" s="3281"/>
      <c r="T73" s="971"/>
    </row>
    <row r="74" spans="1:20" ht="13.15" customHeight="1" x14ac:dyDescent="0.35">
      <c r="A74" s="3094"/>
      <c r="B74" s="3095"/>
      <c r="C74" s="3096"/>
      <c r="D74" s="996" t="s">
        <v>692</v>
      </c>
      <c r="E74" s="997"/>
      <c r="F74" s="997"/>
      <c r="G74" s="997"/>
      <c r="H74" s="997"/>
      <c r="I74" s="997"/>
      <c r="J74" s="998"/>
      <c r="K74" s="3280"/>
      <c r="L74" s="3281"/>
      <c r="M74" s="3285"/>
      <c r="N74" s="3288"/>
      <c r="O74" s="3288"/>
      <c r="P74" s="3288"/>
      <c r="Q74" s="3288"/>
      <c r="R74" s="3280"/>
      <c r="S74" s="3281"/>
      <c r="T74" s="971"/>
    </row>
    <row r="75" spans="1:20" ht="12.75" customHeight="1" thickBot="1" x14ac:dyDescent="0.4">
      <c r="A75" s="3018"/>
      <c r="B75" s="3019"/>
      <c r="C75" s="3020"/>
      <c r="D75" s="985" t="s">
        <v>693</v>
      </c>
      <c r="E75" s="986"/>
      <c r="F75" s="986"/>
      <c r="G75" s="986"/>
      <c r="H75" s="986"/>
      <c r="I75" s="986"/>
      <c r="J75" s="987"/>
      <c r="K75" s="3263"/>
      <c r="L75" s="3264"/>
      <c r="M75" s="3286"/>
      <c r="N75" s="3289"/>
      <c r="O75" s="3289"/>
      <c r="P75" s="3289"/>
      <c r="Q75" s="3289"/>
      <c r="R75" s="3263"/>
      <c r="S75" s="3264"/>
      <c r="T75" s="971"/>
    </row>
    <row r="76" spans="1:20" ht="15" x14ac:dyDescent="0.3">
      <c r="A76" s="3063" t="s">
        <v>694</v>
      </c>
      <c r="B76" s="3064"/>
      <c r="C76" s="3065"/>
      <c r="D76" s="976" t="s">
        <v>887</v>
      </c>
      <c r="E76" s="977"/>
      <c r="F76" s="977"/>
      <c r="G76" s="977"/>
      <c r="H76" s="977"/>
      <c r="I76" s="977"/>
      <c r="J76" s="978"/>
      <c r="K76" s="3265">
        <f>K78+K81</f>
        <v>26.5</v>
      </c>
      <c r="L76" s="3266"/>
      <c r="M76" s="3257">
        <v>97</v>
      </c>
      <c r="N76" s="3257"/>
      <c r="O76" s="3257"/>
      <c r="P76" s="3257">
        <f>P78+P81</f>
        <v>125</v>
      </c>
      <c r="Q76" s="3257">
        <v>435.29176000000001</v>
      </c>
      <c r="R76" s="3265">
        <f>R78+R81</f>
        <v>28.1</v>
      </c>
      <c r="S76" s="3266"/>
      <c r="T76" s="971"/>
    </row>
    <row r="77" spans="1:20" thickBot="1" x14ac:dyDescent="0.35">
      <c r="A77" s="3066"/>
      <c r="B77" s="3067"/>
      <c r="C77" s="3068"/>
      <c r="D77" s="979" t="s">
        <v>695</v>
      </c>
      <c r="E77" s="980"/>
      <c r="F77" s="980"/>
      <c r="G77" s="980"/>
      <c r="H77" s="980"/>
      <c r="I77" s="980"/>
      <c r="J77" s="981"/>
      <c r="K77" s="3267"/>
      <c r="L77" s="3268"/>
      <c r="M77" s="3257"/>
      <c r="N77" s="3257"/>
      <c r="O77" s="3257"/>
      <c r="P77" s="3257"/>
      <c r="Q77" s="3257"/>
      <c r="R77" s="3267"/>
      <c r="S77" s="3268"/>
      <c r="T77" s="971"/>
    </row>
    <row r="78" spans="1:20" ht="15" hidden="1" customHeight="1" x14ac:dyDescent="0.35">
      <c r="A78" s="3015" t="s">
        <v>696</v>
      </c>
      <c r="B78" s="3016"/>
      <c r="C78" s="3017"/>
      <c r="D78" s="982" t="s">
        <v>697</v>
      </c>
      <c r="E78" s="983"/>
      <c r="F78" s="983"/>
      <c r="G78" s="983"/>
      <c r="H78" s="983"/>
      <c r="I78" s="983"/>
      <c r="J78" s="984"/>
      <c r="K78" s="3261"/>
      <c r="L78" s="3290"/>
      <c r="M78" s="3257">
        <v>69</v>
      </c>
      <c r="N78" s="3257">
        <v>7</v>
      </c>
      <c r="O78" s="3257">
        <v>7</v>
      </c>
      <c r="P78" s="3257">
        <f>M78+N78+O78</f>
        <v>83</v>
      </c>
      <c r="Q78" s="3257">
        <v>0.5</v>
      </c>
      <c r="R78" s="3261"/>
      <c r="S78" s="3290"/>
      <c r="T78" s="971"/>
    </row>
    <row r="79" spans="1:20" ht="15" hidden="1" customHeight="1" x14ac:dyDescent="0.35">
      <c r="A79" s="3094"/>
      <c r="B79" s="3095"/>
      <c r="C79" s="3096"/>
      <c r="D79" s="996" t="s">
        <v>698</v>
      </c>
      <c r="E79" s="997"/>
      <c r="F79" s="997"/>
      <c r="G79" s="997"/>
      <c r="H79" s="997"/>
      <c r="I79" s="997"/>
      <c r="J79" s="998"/>
      <c r="K79" s="3291"/>
      <c r="L79" s="3292"/>
      <c r="M79" s="3257"/>
      <c r="N79" s="3257"/>
      <c r="O79" s="3257"/>
      <c r="P79" s="3257"/>
      <c r="Q79" s="3257"/>
      <c r="R79" s="3291"/>
      <c r="S79" s="3292"/>
      <c r="T79" s="971"/>
    </row>
    <row r="80" spans="1:20" ht="7.15" hidden="1" customHeight="1" x14ac:dyDescent="0.35">
      <c r="A80" s="3142"/>
      <c r="B80" s="3143"/>
      <c r="C80" s="3144"/>
      <c r="D80" s="1003"/>
      <c r="E80" s="1004"/>
      <c r="F80" s="1004"/>
      <c r="G80" s="1004"/>
      <c r="H80" s="1004"/>
      <c r="I80" s="1004"/>
      <c r="J80" s="1005"/>
      <c r="K80" s="3293"/>
      <c r="L80" s="3294"/>
      <c r="M80" s="3257"/>
      <c r="N80" s="3257"/>
      <c r="O80" s="3257"/>
      <c r="P80" s="3257"/>
      <c r="Q80" s="3257"/>
      <c r="R80" s="3293"/>
      <c r="S80" s="3294"/>
      <c r="T80" s="971"/>
    </row>
    <row r="81" spans="1:20" ht="16" thickBot="1" x14ac:dyDescent="0.4">
      <c r="A81" s="3162" t="s">
        <v>699</v>
      </c>
      <c r="B81" s="3163"/>
      <c r="C81" s="3164"/>
      <c r="D81" s="996" t="s">
        <v>700</v>
      </c>
      <c r="E81" s="997"/>
      <c r="F81" s="997"/>
      <c r="G81" s="997"/>
      <c r="H81" s="997"/>
      <c r="I81" s="997"/>
      <c r="J81" s="998"/>
      <c r="K81" s="3295">
        <v>26.5</v>
      </c>
      <c r="L81" s="3296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295">
        <v>28.1</v>
      </c>
      <c r="S81" s="3296"/>
      <c r="T81" s="971"/>
    </row>
    <row r="82" spans="1:20" ht="15" hidden="1" x14ac:dyDescent="0.3">
      <c r="A82" s="3063" t="s">
        <v>701</v>
      </c>
      <c r="B82" s="3064"/>
      <c r="C82" s="3065"/>
      <c r="D82" s="976" t="s">
        <v>702</v>
      </c>
      <c r="E82" s="977"/>
      <c r="F82" s="977"/>
      <c r="G82" s="977"/>
      <c r="H82" s="977"/>
      <c r="I82" s="977"/>
      <c r="J82" s="978"/>
      <c r="K82" s="3265">
        <f>K85+K90+K84</f>
        <v>0</v>
      </c>
      <c r="L82" s="3266"/>
      <c r="M82" s="3257">
        <v>530</v>
      </c>
      <c r="N82" s="3257"/>
      <c r="O82" s="3257"/>
      <c r="P82" s="3257">
        <f>P84+P85+P90</f>
        <v>590</v>
      </c>
      <c r="Q82" s="3257">
        <v>375.10428000000002</v>
      </c>
      <c r="R82" s="3265">
        <f>R85+R90+R84</f>
        <v>0</v>
      </c>
      <c r="S82" s="3266"/>
      <c r="T82" s="971"/>
    </row>
    <row r="83" spans="1:20" hidden="1" thickBot="1" x14ac:dyDescent="0.35">
      <c r="A83" s="3066"/>
      <c r="B83" s="3067"/>
      <c r="C83" s="3068"/>
      <c r="D83" s="979" t="s">
        <v>703</v>
      </c>
      <c r="E83" s="980"/>
      <c r="F83" s="980"/>
      <c r="G83" s="980"/>
      <c r="H83" s="980"/>
      <c r="I83" s="980"/>
      <c r="J83" s="981"/>
      <c r="K83" s="3267"/>
      <c r="L83" s="3268"/>
      <c r="M83" s="3287"/>
      <c r="N83" s="3287"/>
      <c r="O83" s="3287"/>
      <c r="P83" s="3287"/>
      <c r="Q83" s="3287"/>
      <c r="R83" s="3267"/>
      <c r="S83" s="3268"/>
      <c r="T83" s="971"/>
    </row>
    <row r="84" spans="1:20" ht="15.65" hidden="1" customHeight="1" x14ac:dyDescent="0.35">
      <c r="A84" s="3155" t="s">
        <v>704</v>
      </c>
      <c r="B84" s="3156"/>
      <c r="C84" s="3157"/>
      <c r="D84" s="1006" t="s">
        <v>705</v>
      </c>
      <c r="E84" s="1007"/>
      <c r="F84" s="1007"/>
      <c r="G84" s="1007"/>
      <c r="H84" s="1007"/>
      <c r="I84" s="1007"/>
      <c r="J84" s="1008"/>
      <c r="K84" s="3297"/>
      <c r="L84" s="3298"/>
      <c r="M84" s="1021"/>
      <c r="N84" s="1022"/>
      <c r="O84" s="1022"/>
      <c r="P84" s="1022"/>
      <c r="Q84" s="1023">
        <v>62.085000000000001</v>
      </c>
      <c r="R84" s="3297"/>
      <c r="S84" s="3298"/>
      <c r="T84" s="971"/>
    </row>
    <row r="85" spans="1:20" hidden="1" x14ac:dyDescent="0.35">
      <c r="A85" s="3172" t="s">
        <v>706</v>
      </c>
      <c r="B85" s="3173"/>
      <c r="C85" s="3174"/>
      <c r="D85" s="996" t="s">
        <v>707</v>
      </c>
      <c r="E85" s="997"/>
      <c r="F85" s="997"/>
      <c r="G85" s="997"/>
      <c r="H85" s="997"/>
      <c r="I85" s="997"/>
      <c r="J85" s="998"/>
      <c r="K85" s="3280">
        <v>0</v>
      </c>
      <c r="L85" s="3281"/>
      <c r="M85" s="3289">
        <v>190</v>
      </c>
      <c r="N85" s="3289">
        <v>30</v>
      </c>
      <c r="O85" s="3289">
        <v>30</v>
      </c>
      <c r="P85" s="3289">
        <f>M85+N85+O85</f>
        <v>250</v>
      </c>
      <c r="Q85" s="3289">
        <v>243.4375</v>
      </c>
      <c r="R85" s="3280">
        <v>0</v>
      </c>
      <c r="S85" s="3281"/>
      <c r="T85" s="971"/>
    </row>
    <row r="86" spans="1:20" hidden="1" x14ac:dyDescent="0.35">
      <c r="A86" s="3094"/>
      <c r="B86" s="3095"/>
      <c r="C86" s="3096"/>
      <c r="D86" s="996" t="s">
        <v>708</v>
      </c>
      <c r="E86" s="997"/>
      <c r="F86" s="997"/>
      <c r="G86" s="997"/>
      <c r="H86" s="997"/>
      <c r="I86" s="997"/>
      <c r="J86" s="998"/>
      <c r="K86" s="3280"/>
      <c r="L86" s="3281"/>
      <c r="M86" s="3257"/>
      <c r="N86" s="3257"/>
      <c r="O86" s="3257"/>
      <c r="P86" s="3257"/>
      <c r="Q86" s="3257"/>
      <c r="R86" s="3280"/>
      <c r="S86" s="3281"/>
      <c r="T86" s="971"/>
    </row>
    <row r="87" spans="1:20" hidden="1" x14ac:dyDescent="0.35">
      <c r="A87" s="3094"/>
      <c r="B87" s="3095"/>
      <c r="C87" s="3096"/>
      <c r="D87" s="996" t="s">
        <v>709</v>
      </c>
      <c r="E87" s="997"/>
      <c r="F87" s="997"/>
      <c r="G87" s="997"/>
      <c r="H87" s="997"/>
      <c r="I87" s="997"/>
      <c r="J87" s="998"/>
      <c r="K87" s="3280"/>
      <c r="L87" s="3281"/>
      <c r="M87" s="3257"/>
      <c r="N87" s="3257"/>
      <c r="O87" s="3257"/>
      <c r="P87" s="3257"/>
      <c r="Q87" s="3257"/>
      <c r="R87" s="3280"/>
      <c r="S87" s="3281"/>
      <c r="T87" s="971"/>
    </row>
    <row r="88" spans="1:20" hidden="1" x14ac:dyDescent="0.35">
      <c r="A88" s="3094"/>
      <c r="B88" s="3095"/>
      <c r="C88" s="3096"/>
      <c r="D88" s="996" t="s">
        <v>710</v>
      </c>
      <c r="E88" s="997"/>
      <c r="F88" s="997"/>
      <c r="G88" s="997"/>
      <c r="H88" s="997"/>
      <c r="I88" s="997"/>
      <c r="J88" s="998"/>
      <c r="K88" s="3280"/>
      <c r="L88" s="3281"/>
      <c r="M88" s="3257"/>
      <c r="N88" s="3257"/>
      <c r="O88" s="3257"/>
      <c r="P88" s="3257"/>
      <c r="Q88" s="3257"/>
      <c r="R88" s="3280"/>
      <c r="S88" s="3281"/>
      <c r="T88" s="971"/>
    </row>
    <row r="89" spans="1:20" ht="16" hidden="1" thickBot="1" x14ac:dyDescent="0.4">
      <c r="A89" s="3018"/>
      <c r="B89" s="3019"/>
      <c r="C89" s="3020"/>
      <c r="D89" s="985" t="s">
        <v>711</v>
      </c>
      <c r="E89" s="986"/>
      <c r="F89" s="986"/>
      <c r="G89" s="986"/>
      <c r="H89" s="986"/>
      <c r="I89" s="986"/>
      <c r="J89" s="987"/>
      <c r="K89" s="3263"/>
      <c r="L89" s="3264"/>
      <c r="M89" s="3257"/>
      <c r="N89" s="3257"/>
      <c r="O89" s="3257"/>
      <c r="P89" s="3257"/>
      <c r="Q89" s="3257"/>
      <c r="R89" s="3263"/>
      <c r="S89" s="3264"/>
      <c r="T89" s="971"/>
    </row>
    <row r="90" spans="1:20" ht="15.65" hidden="1" customHeight="1" thickBot="1" x14ac:dyDescent="0.4">
      <c r="A90" s="3015" t="s">
        <v>712</v>
      </c>
      <c r="B90" s="3016"/>
      <c r="C90" s="3017"/>
      <c r="D90" s="996" t="s">
        <v>713</v>
      </c>
      <c r="E90" s="997"/>
      <c r="F90" s="997"/>
      <c r="G90" s="997"/>
      <c r="H90" s="997"/>
      <c r="I90" s="997"/>
      <c r="J90" s="998"/>
      <c r="K90" s="3261"/>
      <c r="L90" s="3262"/>
      <c r="M90" s="3257">
        <v>340</v>
      </c>
      <c r="N90" s="3257"/>
      <c r="O90" s="3257"/>
      <c r="P90" s="3257">
        <f>M90+N90+O90</f>
        <v>340</v>
      </c>
      <c r="Q90" s="3257">
        <v>69.581779999999995</v>
      </c>
      <c r="R90" s="3261"/>
      <c r="S90" s="3262"/>
      <c r="T90" s="971"/>
    </row>
    <row r="91" spans="1:20" ht="15.65" hidden="1" customHeight="1" thickBot="1" x14ac:dyDescent="0.4">
      <c r="A91" s="3094"/>
      <c r="B91" s="3095"/>
      <c r="C91" s="3096"/>
      <c r="D91" s="996" t="s">
        <v>714</v>
      </c>
      <c r="E91" s="997"/>
      <c r="F91" s="997"/>
      <c r="G91" s="997"/>
      <c r="H91" s="997"/>
      <c r="I91" s="997"/>
      <c r="J91" s="998"/>
      <c r="K91" s="3280"/>
      <c r="L91" s="3281"/>
      <c r="M91" s="3257"/>
      <c r="N91" s="3257"/>
      <c r="O91" s="3257"/>
      <c r="P91" s="3257"/>
      <c r="Q91" s="3257"/>
      <c r="R91" s="3280"/>
      <c r="S91" s="3281"/>
      <c r="T91" s="971"/>
    </row>
    <row r="92" spans="1:20" ht="15.65" hidden="1" customHeight="1" thickBot="1" x14ac:dyDescent="0.4">
      <c r="A92" s="3094"/>
      <c r="B92" s="3095"/>
      <c r="C92" s="3096"/>
      <c r="D92" s="996" t="s">
        <v>715</v>
      </c>
      <c r="E92" s="997"/>
      <c r="F92" s="997"/>
      <c r="G92" s="997"/>
      <c r="H92" s="997"/>
      <c r="I92" s="997"/>
      <c r="J92" s="998"/>
      <c r="K92" s="3280"/>
      <c r="L92" s="3281"/>
      <c r="M92" s="3257"/>
      <c r="N92" s="3257"/>
      <c r="O92" s="3257"/>
      <c r="P92" s="3257"/>
      <c r="Q92" s="3257"/>
      <c r="R92" s="3280"/>
      <c r="S92" s="3281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80"/>
      <c r="L93" s="3281"/>
      <c r="M93" s="1015"/>
      <c r="N93" s="1015"/>
      <c r="O93" s="1015"/>
      <c r="P93" s="1015"/>
      <c r="Q93" s="1016"/>
      <c r="R93" s="3280"/>
      <c r="S93" s="3281"/>
      <c r="T93" s="971"/>
    </row>
    <row r="94" spans="1:20" ht="15.75" customHeight="1" x14ac:dyDescent="0.3">
      <c r="A94" s="3063" t="s">
        <v>716</v>
      </c>
      <c r="B94" s="3064"/>
      <c r="C94" s="3065"/>
      <c r="D94" s="3084" t="s">
        <v>717</v>
      </c>
      <c r="E94" s="3085"/>
      <c r="F94" s="3085"/>
      <c r="G94" s="3085"/>
      <c r="H94" s="3085"/>
      <c r="I94" s="3085"/>
      <c r="J94" s="3086"/>
      <c r="K94" s="3265">
        <f>K96</f>
        <v>20</v>
      </c>
      <c r="L94" s="3266"/>
      <c r="M94" s="1015"/>
      <c r="N94" s="1015"/>
      <c r="O94" s="1015"/>
      <c r="P94" s="1015"/>
      <c r="Q94" s="1016"/>
      <c r="R94" s="3265">
        <f>R96</f>
        <v>20</v>
      </c>
      <c r="S94" s="3266"/>
      <c r="T94" s="971"/>
    </row>
    <row r="95" spans="1:20" ht="15.75" customHeight="1" thickBot="1" x14ac:dyDescent="0.35">
      <c r="A95" s="3066"/>
      <c r="B95" s="3067"/>
      <c r="C95" s="3068"/>
      <c r="D95" s="3087"/>
      <c r="E95" s="3088"/>
      <c r="F95" s="3088"/>
      <c r="G95" s="3088"/>
      <c r="H95" s="3088"/>
      <c r="I95" s="3088"/>
      <c r="J95" s="3089"/>
      <c r="K95" s="3299"/>
      <c r="L95" s="3300"/>
      <c r="M95" s="1015"/>
      <c r="N95" s="1015"/>
      <c r="O95" s="1015"/>
      <c r="P95" s="1015"/>
      <c r="Q95" s="1016"/>
      <c r="R95" s="3299"/>
      <c r="S95" s="3300"/>
      <c r="T95" s="971"/>
    </row>
    <row r="96" spans="1:20" ht="15.75" customHeight="1" x14ac:dyDescent="0.3">
      <c r="A96" s="3015" t="s">
        <v>718</v>
      </c>
      <c r="B96" s="3016"/>
      <c r="C96" s="3017"/>
      <c r="D96" s="3177" t="s">
        <v>719</v>
      </c>
      <c r="E96" s="3178"/>
      <c r="F96" s="3178"/>
      <c r="G96" s="3178"/>
      <c r="H96" s="3178"/>
      <c r="I96" s="3178"/>
      <c r="J96" s="3179"/>
      <c r="K96" s="3261">
        <v>20</v>
      </c>
      <c r="L96" s="3262"/>
      <c r="M96" s="1015"/>
      <c r="N96" s="1015"/>
      <c r="O96" s="1015"/>
      <c r="P96" s="1015"/>
      <c r="Q96" s="1016"/>
      <c r="R96" s="3261">
        <v>20</v>
      </c>
      <c r="S96" s="3262"/>
      <c r="T96" s="971"/>
    </row>
    <row r="97" spans="1:20" ht="27" customHeight="1" thickBot="1" x14ac:dyDescent="0.35">
      <c r="A97" s="3018"/>
      <c r="B97" s="3019"/>
      <c r="C97" s="3020"/>
      <c r="D97" s="3180"/>
      <c r="E97" s="3181"/>
      <c r="F97" s="3181"/>
      <c r="G97" s="3181"/>
      <c r="H97" s="3181"/>
      <c r="I97" s="3181"/>
      <c r="J97" s="3182"/>
      <c r="K97" s="3301"/>
      <c r="L97" s="3302"/>
      <c r="M97" s="1015"/>
      <c r="N97" s="1015"/>
      <c r="O97" s="1015"/>
      <c r="P97" s="1015"/>
      <c r="Q97" s="1016"/>
      <c r="R97" s="3301"/>
      <c r="S97" s="3302"/>
      <c r="T97" s="971"/>
    </row>
    <row r="98" spans="1:20" ht="15" x14ac:dyDescent="0.3">
      <c r="A98" s="3025" t="s">
        <v>720</v>
      </c>
      <c r="B98" s="3026"/>
      <c r="C98" s="3027"/>
      <c r="D98" s="976"/>
      <c r="E98" s="977"/>
      <c r="F98" s="977"/>
      <c r="G98" s="977"/>
      <c r="H98" s="977"/>
      <c r="I98" s="977"/>
      <c r="J98" s="978"/>
      <c r="K98" s="3265">
        <f>K100</f>
        <v>26.5</v>
      </c>
      <c r="L98" s="3266"/>
      <c r="M98" s="3257">
        <v>90</v>
      </c>
      <c r="N98" s="3257"/>
      <c r="O98" s="3257"/>
      <c r="P98" s="3257">
        <f>P100</f>
        <v>150</v>
      </c>
      <c r="Q98" s="3257">
        <v>129.83756</v>
      </c>
      <c r="R98" s="3265">
        <f>R100</f>
        <v>28.1</v>
      </c>
      <c r="S98" s="3266"/>
      <c r="T98" s="971"/>
    </row>
    <row r="99" spans="1:20" thickBot="1" x14ac:dyDescent="0.35">
      <c r="A99" s="3028"/>
      <c r="B99" s="3029"/>
      <c r="C99" s="3030"/>
      <c r="D99" s="1009" t="s">
        <v>721</v>
      </c>
      <c r="E99" s="1010"/>
      <c r="F99" s="1010"/>
      <c r="G99" s="1010"/>
      <c r="H99" s="1010"/>
      <c r="I99" s="1010"/>
      <c r="J99" s="1011"/>
      <c r="K99" s="3299"/>
      <c r="L99" s="3300"/>
      <c r="M99" s="3257"/>
      <c r="N99" s="3257"/>
      <c r="O99" s="3257"/>
      <c r="P99" s="3257"/>
      <c r="Q99" s="3257"/>
      <c r="R99" s="3299"/>
      <c r="S99" s="3300"/>
      <c r="T99" s="971"/>
    </row>
    <row r="100" spans="1:20" ht="15" x14ac:dyDescent="0.3">
      <c r="A100" s="3012" t="s">
        <v>722</v>
      </c>
      <c r="B100" s="3013"/>
      <c r="C100" s="3014"/>
      <c r="D100" s="976"/>
      <c r="E100" s="977"/>
      <c r="F100" s="977"/>
      <c r="G100" s="977"/>
      <c r="H100" s="977"/>
      <c r="I100" s="977"/>
      <c r="J100" s="978"/>
      <c r="K100" s="3261">
        <v>26.5</v>
      </c>
      <c r="L100" s="3262"/>
      <c r="M100" s="3257">
        <v>90</v>
      </c>
      <c r="N100" s="3257">
        <v>30</v>
      </c>
      <c r="O100" s="3257">
        <v>30</v>
      </c>
      <c r="P100" s="3257">
        <f>M100+N100+O100</f>
        <v>150</v>
      </c>
      <c r="Q100" s="3257">
        <v>117.42055999999999</v>
      </c>
      <c r="R100" s="3261">
        <v>28.1</v>
      </c>
      <c r="S100" s="3262"/>
      <c r="T100" s="971"/>
    </row>
    <row r="101" spans="1:20" ht="16" thickBot="1" x14ac:dyDescent="0.4">
      <c r="A101" s="3006"/>
      <c r="B101" s="2999"/>
      <c r="C101" s="3007"/>
      <c r="D101" s="1003" t="s">
        <v>723</v>
      </c>
      <c r="E101" s="1010"/>
      <c r="F101" s="1010"/>
      <c r="G101" s="1010"/>
      <c r="H101" s="1010"/>
      <c r="I101" s="1010"/>
      <c r="J101" s="1011"/>
      <c r="K101" s="3301"/>
      <c r="L101" s="3302"/>
      <c r="M101" s="3257"/>
      <c r="N101" s="3257"/>
      <c r="O101" s="3257"/>
      <c r="P101" s="3257"/>
      <c r="Q101" s="3257"/>
      <c r="R101" s="3301"/>
      <c r="S101" s="3302"/>
      <c r="T101" s="971"/>
    </row>
    <row r="102" spans="1:20" ht="15.65" customHeight="1" x14ac:dyDescent="0.3">
      <c r="A102" s="3025" t="s">
        <v>724</v>
      </c>
      <c r="B102" s="3026"/>
      <c r="C102" s="3027"/>
      <c r="D102" s="976"/>
      <c r="E102" s="977"/>
      <c r="F102" s="977"/>
      <c r="G102" s="977"/>
      <c r="H102" s="977"/>
      <c r="I102" s="977"/>
      <c r="J102" s="978"/>
      <c r="K102" s="3265">
        <f>K105+K110+K111+K112+K114+K106+L107+K113+K109+K108</f>
        <v>20143.5</v>
      </c>
      <c r="L102" s="3266"/>
      <c r="M102" s="3257">
        <v>8484.0619999999999</v>
      </c>
      <c r="N102" s="3257"/>
      <c r="O102" s="3257"/>
      <c r="P102" s="3257">
        <f>P105+P110+P111+P112+P114</f>
        <v>8524.0619999999999</v>
      </c>
      <c r="Q102" s="3257">
        <v>3580.9459499999998</v>
      </c>
      <c r="R102" s="3265">
        <f>R105+R110+R111+R112+R114+R106+S107+R113+R109+R108</f>
        <v>20057.400000000001</v>
      </c>
      <c r="S102" s="3266"/>
      <c r="T102" s="971"/>
    </row>
    <row r="103" spans="1:20" ht="15.65" customHeight="1" x14ac:dyDescent="0.3">
      <c r="A103" s="3205"/>
      <c r="B103" s="3206"/>
      <c r="C103" s="3207"/>
      <c r="D103" s="999" t="s">
        <v>725</v>
      </c>
      <c r="E103" s="1000"/>
      <c r="F103" s="1000"/>
      <c r="G103" s="1000"/>
      <c r="H103" s="1000"/>
      <c r="I103" s="1000"/>
      <c r="J103" s="1001"/>
      <c r="K103" s="3282"/>
      <c r="L103" s="3283"/>
      <c r="M103" s="3257"/>
      <c r="N103" s="3257"/>
      <c r="O103" s="3257"/>
      <c r="P103" s="3257"/>
      <c r="Q103" s="3257"/>
      <c r="R103" s="3282"/>
      <c r="S103" s="3283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67"/>
      <c r="L104" s="3268"/>
      <c r="M104" s="1015"/>
      <c r="N104" s="1015"/>
      <c r="O104" s="1015"/>
      <c r="P104" s="1015"/>
      <c r="Q104" s="1016"/>
      <c r="R104" s="3267"/>
      <c r="S104" s="3268"/>
      <c r="T104" s="971"/>
    </row>
    <row r="105" spans="1:20" ht="34.5" customHeight="1" thickBot="1" x14ac:dyDescent="0.4">
      <c r="A105" s="3185" t="s">
        <v>726</v>
      </c>
      <c r="B105" s="3186"/>
      <c r="C105" s="3187"/>
      <c r="D105" s="3188" t="s">
        <v>864</v>
      </c>
      <c r="E105" s="3199"/>
      <c r="F105" s="3199"/>
      <c r="G105" s="3199"/>
      <c r="H105" s="3199"/>
      <c r="I105" s="3199"/>
      <c r="J105" s="3200"/>
      <c r="K105" s="3269">
        <f>18807.1</f>
        <v>18807.099999999999</v>
      </c>
      <c r="L105" s="3270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269">
        <v>19358.900000000001</v>
      </c>
      <c r="S105" s="3270"/>
      <c r="T105" s="971"/>
    </row>
    <row r="106" spans="1:20" ht="34.5" hidden="1" customHeight="1" thickBot="1" x14ac:dyDescent="0.4">
      <c r="A106" s="3185" t="s">
        <v>727</v>
      </c>
      <c r="B106" s="3186"/>
      <c r="C106" s="3187"/>
      <c r="D106" s="3188" t="s">
        <v>796</v>
      </c>
      <c r="E106" s="3199"/>
      <c r="F106" s="3199"/>
      <c r="G106" s="3199"/>
      <c r="H106" s="3199"/>
      <c r="I106" s="3199"/>
      <c r="J106" s="3200"/>
      <c r="K106" s="3269"/>
      <c r="L106" s="3270"/>
      <c r="M106" s="1015"/>
      <c r="N106" s="1015"/>
      <c r="O106" s="1015"/>
      <c r="P106" s="1015"/>
      <c r="Q106" s="1016"/>
      <c r="R106" s="3269"/>
      <c r="S106" s="3270"/>
      <c r="T106" s="971"/>
    </row>
    <row r="107" spans="1:20" ht="36.75" hidden="1" customHeight="1" thickBot="1" x14ac:dyDescent="0.4">
      <c r="A107" s="3185" t="s">
        <v>729</v>
      </c>
      <c r="B107" s="3186"/>
      <c r="C107" s="3187"/>
      <c r="D107" s="3188" t="s">
        <v>730</v>
      </c>
      <c r="E107" s="3199"/>
      <c r="F107" s="3199"/>
      <c r="G107" s="3199"/>
      <c r="H107" s="3199"/>
      <c r="I107" s="3199"/>
      <c r="J107" s="3200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3185" t="s">
        <v>731</v>
      </c>
      <c r="B108" s="3186"/>
      <c r="C108" s="3187"/>
      <c r="D108" s="3303" t="s">
        <v>732</v>
      </c>
      <c r="E108" s="3304"/>
      <c r="F108" s="3304"/>
      <c r="G108" s="3304"/>
      <c r="H108" s="3304"/>
      <c r="I108" s="3304"/>
      <c r="J108" s="3305"/>
      <c r="K108" s="3216"/>
      <c r="L108" s="3217"/>
      <c r="M108" s="1015"/>
      <c r="N108" s="1015"/>
      <c r="O108" s="1015"/>
      <c r="P108" s="1015"/>
      <c r="Q108" s="1016"/>
      <c r="R108" s="3216"/>
      <c r="S108" s="3217"/>
      <c r="T108" s="971"/>
    </row>
    <row r="109" spans="1:20" ht="60.65" hidden="1" customHeight="1" thickBot="1" x14ac:dyDescent="0.4">
      <c r="A109" s="3185" t="s">
        <v>733</v>
      </c>
      <c r="B109" s="3186"/>
      <c r="C109" s="3187"/>
      <c r="D109" s="3220" t="s">
        <v>734</v>
      </c>
      <c r="E109" s="3221"/>
      <c r="F109" s="3221"/>
      <c r="G109" s="3221"/>
      <c r="H109" s="3221"/>
      <c r="I109" s="3221"/>
      <c r="J109" s="3222"/>
      <c r="K109" s="3216"/>
      <c r="L109" s="3217"/>
      <c r="M109" s="1015"/>
      <c r="N109" s="1015"/>
      <c r="O109" s="1015"/>
      <c r="P109" s="1015"/>
      <c r="Q109" s="1016"/>
      <c r="R109" s="3216"/>
      <c r="S109" s="3217"/>
      <c r="T109" s="971"/>
    </row>
    <row r="110" spans="1:20" ht="36.75" customHeight="1" thickBot="1" x14ac:dyDescent="0.4">
      <c r="A110" s="3185" t="s">
        <v>735</v>
      </c>
      <c r="B110" s="3186"/>
      <c r="C110" s="3187"/>
      <c r="D110" s="3188" t="s">
        <v>736</v>
      </c>
      <c r="E110" s="3199"/>
      <c r="F110" s="3199"/>
      <c r="G110" s="3199"/>
      <c r="H110" s="3199"/>
      <c r="I110" s="3199"/>
      <c r="J110" s="3200"/>
      <c r="K110" s="3216">
        <v>662.9</v>
      </c>
      <c r="L110" s="3217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216">
        <v>0</v>
      </c>
      <c r="S110" s="3217"/>
      <c r="T110" s="971"/>
    </row>
    <row r="111" spans="1:20" ht="53.25" customHeight="1" thickBot="1" x14ac:dyDescent="0.4">
      <c r="A111" s="3185" t="s">
        <v>737</v>
      </c>
      <c r="B111" s="3186"/>
      <c r="C111" s="3187"/>
      <c r="D111" s="3188" t="s">
        <v>889</v>
      </c>
      <c r="E111" s="3199"/>
      <c r="F111" s="3199"/>
      <c r="G111" s="3199"/>
      <c r="H111" s="3199"/>
      <c r="I111" s="3199"/>
      <c r="J111" s="3200"/>
      <c r="K111" s="3216">
        <f>598.5+0.008</f>
        <v>598.50800000000004</v>
      </c>
      <c r="L111" s="3217"/>
      <c r="M111" s="1015">
        <v>10</v>
      </c>
      <c r="N111" s="1015"/>
      <c r="O111" s="1015"/>
      <c r="P111" s="1015">
        <v>10</v>
      </c>
      <c r="Q111" s="1016">
        <v>10</v>
      </c>
      <c r="R111" s="3216">
        <f>598.5+0.008</f>
        <v>598.50800000000004</v>
      </c>
      <c r="S111" s="3217"/>
      <c r="T111" s="971"/>
    </row>
    <row r="112" spans="1:20" ht="49.15" hidden="1" customHeight="1" thickBot="1" x14ac:dyDescent="0.4">
      <c r="A112" s="3185" t="s">
        <v>738</v>
      </c>
      <c r="B112" s="3186"/>
      <c r="C112" s="3187"/>
      <c r="D112" s="3188" t="s">
        <v>739</v>
      </c>
      <c r="E112" s="3199"/>
      <c r="F112" s="3199"/>
      <c r="G112" s="3199"/>
      <c r="H112" s="3199"/>
      <c r="I112" s="3199"/>
      <c r="J112" s="3200"/>
      <c r="K112" s="3216"/>
      <c r="L112" s="3217"/>
      <c r="M112" s="1015">
        <v>613</v>
      </c>
      <c r="N112" s="1015"/>
      <c r="O112" s="1015"/>
      <c r="P112" s="1015">
        <v>613</v>
      </c>
      <c r="Q112" s="1016">
        <v>613</v>
      </c>
      <c r="R112" s="3216"/>
      <c r="S112" s="3217"/>
      <c r="T112" s="971"/>
    </row>
    <row r="113" spans="1:20" ht="58.9" hidden="1" customHeight="1" thickBot="1" x14ac:dyDescent="0.4">
      <c r="A113" s="3185" t="s">
        <v>740</v>
      </c>
      <c r="B113" s="3186"/>
      <c r="C113" s="3187"/>
      <c r="D113" s="3188" t="s">
        <v>741</v>
      </c>
      <c r="E113" s="3199"/>
      <c r="F113" s="3199"/>
      <c r="G113" s="3199"/>
      <c r="H113" s="3199"/>
      <c r="I113" s="3199"/>
      <c r="J113" s="3200"/>
      <c r="K113" s="3216"/>
      <c r="L113" s="3217"/>
      <c r="M113" s="1015"/>
      <c r="N113" s="1015"/>
      <c r="O113" s="1015"/>
      <c r="P113" s="1015"/>
      <c r="Q113" s="1016"/>
      <c r="R113" s="3216"/>
      <c r="S113" s="3217"/>
      <c r="T113" s="971"/>
    </row>
    <row r="114" spans="1:20" ht="34.5" customHeight="1" thickBot="1" x14ac:dyDescent="0.4">
      <c r="A114" s="3185" t="s">
        <v>742</v>
      </c>
      <c r="B114" s="3186"/>
      <c r="C114" s="3187"/>
      <c r="D114" s="3231" t="s">
        <v>743</v>
      </c>
      <c r="E114" s="3232"/>
      <c r="F114" s="3232"/>
      <c r="G114" s="3232"/>
      <c r="H114" s="3232"/>
      <c r="I114" s="3232"/>
      <c r="J114" s="3233"/>
      <c r="K114" s="3269">
        <f>75-0.008</f>
        <v>74.992000000000004</v>
      </c>
      <c r="L114" s="3270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269">
        <f>100-0.008</f>
        <v>99.992000000000004</v>
      </c>
      <c r="S114" s="3270"/>
      <c r="T114" s="971"/>
    </row>
    <row r="115" spans="1:20" ht="12.75" customHeight="1" x14ac:dyDescent="0.35">
      <c r="A115" s="3025" t="s">
        <v>744</v>
      </c>
      <c r="B115" s="3026"/>
      <c r="C115" s="3027"/>
      <c r="D115" s="982"/>
      <c r="E115" s="983"/>
      <c r="F115" s="983"/>
      <c r="G115" s="983"/>
      <c r="H115" s="983"/>
      <c r="I115" s="983"/>
      <c r="J115" s="984"/>
      <c r="K115" s="3265">
        <f>K32+K102</f>
        <v>98386.68</v>
      </c>
      <c r="L115" s="3266"/>
      <c r="M115" s="3257">
        <v>25719.42</v>
      </c>
      <c r="N115" s="3257"/>
      <c r="O115" s="3257"/>
      <c r="P115" s="3287">
        <f>P32+P102</f>
        <v>29736.455999999998</v>
      </c>
      <c r="Q115" s="3257"/>
      <c r="R115" s="3265">
        <f>R32+R102</f>
        <v>102895.68100000001</v>
      </c>
      <c r="S115" s="3266"/>
      <c r="T115" s="971"/>
    </row>
    <row r="116" spans="1:20" ht="16.5" customHeight="1" thickBot="1" x14ac:dyDescent="0.4">
      <c r="A116" s="3028"/>
      <c r="B116" s="3029"/>
      <c r="C116" s="3030"/>
      <c r="D116" s="979"/>
      <c r="E116" s="980"/>
      <c r="F116" s="980"/>
      <c r="G116" s="986"/>
      <c r="H116" s="986"/>
      <c r="I116" s="986"/>
      <c r="J116" s="987"/>
      <c r="K116" s="3267"/>
      <c r="L116" s="3268"/>
      <c r="M116" s="3257"/>
      <c r="N116" s="3257"/>
      <c r="O116" s="3257"/>
      <c r="P116" s="3289"/>
      <c r="Q116" s="3257"/>
      <c r="R116" s="3267"/>
      <c r="S116" s="3268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69"/>
  <sheetViews>
    <sheetView tabSelected="1" zoomScale="75" zoomScaleNormal="75" workbookViewId="0">
      <selection activeCell="E1" sqref="E1:G1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256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4.15" customHeight="1" x14ac:dyDescent="0.35">
      <c r="E1" s="3500" t="s">
        <v>946</v>
      </c>
      <c r="F1" s="3500"/>
      <c r="G1" s="3500"/>
    </row>
    <row r="2" spans="1:18" ht="14.15" customHeight="1" x14ac:dyDescent="0.35">
      <c r="E2" s="3500" t="s">
        <v>450</v>
      </c>
      <c r="F2" s="3500"/>
      <c r="G2" s="3500"/>
    </row>
    <row r="3" spans="1:18" ht="15.65" customHeight="1" x14ac:dyDescent="0.35">
      <c r="E3" s="3500" t="s">
        <v>449</v>
      </c>
      <c r="F3" s="3500"/>
      <c r="G3" s="3500"/>
    </row>
    <row r="4" spans="1:18" ht="15.65" customHeight="1" x14ac:dyDescent="0.35">
      <c r="E4" s="3500" t="s">
        <v>448</v>
      </c>
      <c r="F4" s="3500"/>
      <c r="G4" s="3500"/>
    </row>
    <row r="5" spans="1:18" ht="12.65" customHeight="1" x14ac:dyDescent="0.35">
      <c r="E5" s="2897"/>
      <c r="F5" s="2897"/>
      <c r="G5" s="2894" t="str">
        <f>'прил2 дох 2021-2023'!$K$16</f>
        <v xml:space="preserve">    от  " 22 " сентября  2021 года № 221 </v>
      </c>
    </row>
    <row r="6" spans="1:18" ht="13.5" customHeight="1" x14ac:dyDescent="0.35">
      <c r="E6" s="2261"/>
      <c r="F6" s="2261"/>
      <c r="G6" s="2261"/>
    </row>
    <row r="7" spans="1:18" ht="15.5" x14ac:dyDescent="0.35">
      <c r="E7" s="2261"/>
      <c r="F7" s="3557" t="s">
        <v>616</v>
      </c>
      <c r="G7" s="3557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31"/>
      <c r="F8" s="2331"/>
      <c r="G8" s="2896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31"/>
      <c r="F9" s="2331"/>
      <c r="G9" s="2896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31"/>
      <c r="F10" s="2331"/>
      <c r="G10" s="2896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31"/>
      <c r="F11" s="2331"/>
      <c r="G11" s="2892" t="s">
        <v>1224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174"/>
      <c r="F12" s="2174"/>
      <c r="G12" s="2892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549" t="s">
        <v>868</v>
      </c>
      <c r="B13" s="3549"/>
      <c r="C13" s="3549"/>
      <c r="D13" s="3549"/>
      <c r="E13" s="3549"/>
      <c r="F13" s="3549"/>
      <c r="G13" s="3549"/>
      <c r="H13" s="2257"/>
      <c r="I13" s="2257"/>
      <c r="J13" s="2257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549" t="s">
        <v>869</v>
      </c>
      <c r="B14" s="3549"/>
      <c r="C14" s="3549"/>
      <c r="D14" s="3549"/>
      <c r="E14" s="3549"/>
      <c r="F14" s="3549"/>
      <c r="G14" s="3549"/>
      <c r="H14" s="2257"/>
      <c r="I14" s="2257"/>
      <c r="J14" s="2257"/>
    </row>
    <row r="15" spans="1:18" ht="15" x14ac:dyDescent="0.3">
      <c r="A15" s="3549" t="s">
        <v>1199</v>
      </c>
      <c r="B15" s="3549"/>
      <c r="C15" s="3549"/>
      <c r="D15" s="3549"/>
      <c r="E15" s="3549"/>
      <c r="F15" s="3549"/>
      <c r="G15" s="3549"/>
      <c r="H15" s="2257"/>
      <c r="I15" s="2257"/>
      <c r="J15" s="2257"/>
    </row>
    <row r="16" spans="1:18" s="2261" customFormat="1" ht="18.75" hidden="1" customHeight="1" x14ac:dyDescent="0.35">
      <c r="A16" s="2258"/>
      <c r="B16" s="2258"/>
      <c r="C16" s="2258"/>
      <c r="D16" s="2259"/>
      <c r="E16" s="2259"/>
      <c r="F16" s="2259"/>
      <c r="G16" s="2260"/>
      <c r="H16" s="2260"/>
    </row>
    <row r="17" spans="1:10" s="2261" customFormat="1" ht="16" thickBot="1" x14ac:dyDescent="0.4">
      <c r="A17" s="3550"/>
      <c r="B17" s="3550"/>
      <c r="C17" s="3550"/>
      <c r="D17" s="3550"/>
      <c r="E17" s="3550"/>
      <c r="F17" s="3550"/>
      <c r="G17" s="2262" t="s">
        <v>1092</v>
      </c>
    </row>
    <row r="18" spans="1:10" ht="29.25" customHeight="1" x14ac:dyDescent="0.3">
      <c r="A18" s="3551" t="s">
        <v>1073</v>
      </c>
      <c r="B18" s="3553" t="s">
        <v>1074</v>
      </c>
      <c r="C18" s="3553" t="s">
        <v>1075</v>
      </c>
      <c r="D18" s="3553" t="s">
        <v>1076</v>
      </c>
      <c r="E18" s="3553"/>
      <c r="F18" s="3553"/>
      <c r="G18" s="3555" t="s">
        <v>1077</v>
      </c>
    </row>
    <row r="19" spans="1:10" ht="29.25" customHeight="1" thickBot="1" x14ac:dyDescent="0.35">
      <c r="A19" s="3552"/>
      <c r="B19" s="3554"/>
      <c r="C19" s="3554"/>
      <c r="D19" s="2263" t="s">
        <v>899</v>
      </c>
      <c r="E19" s="2263" t="s">
        <v>997</v>
      </c>
      <c r="F19" s="2263" t="s">
        <v>1197</v>
      </c>
      <c r="G19" s="3556"/>
    </row>
    <row r="20" spans="1:10" ht="33.75" customHeight="1" thickBot="1" x14ac:dyDescent="0.35">
      <c r="A20" s="3528" t="s">
        <v>884</v>
      </c>
      <c r="B20" s="3529"/>
      <c r="C20" s="3529"/>
      <c r="D20" s="3529"/>
      <c r="E20" s="3529"/>
      <c r="F20" s="3529"/>
      <c r="G20" s="3530"/>
    </row>
    <row r="21" spans="1:10" ht="33.75" customHeight="1" thickBot="1" x14ac:dyDescent="0.35">
      <c r="A21" s="2895" t="s">
        <v>1131</v>
      </c>
      <c r="B21" s="2265"/>
      <c r="C21" s="2269"/>
      <c r="D21" s="2266">
        <f>D24+D41</f>
        <v>9422.8870000000006</v>
      </c>
      <c r="E21" s="2267">
        <f>E24+E41</f>
        <v>7792.4519999999993</v>
      </c>
      <c r="F21" s="2268">
        <f>F24+F41</f>
        <v>2492.16</v>
      </c>
      <c r="G21" s="2265"/>
    </row>
    <row r="22" spans="1:10" ht="27.75" customHeight="1" x14ac:dyDescent="0.3">
      <c r="A22" s="3531" t="s">
        <v>1132</v>
      </c>
      <c r="B22" s="3534" t="s">
        <v>1090</v>
      </c>
      <c r="C22" s="2393" t="s">
        <v>1080</v>
      </c>
      <c r="D22" s="2429">
        <f>119.8-33.24</f>
        <v>86.56</v>
      </c>
      <c r="E22" s="2429">
        <f>1514.38-1514.38</f>
        <v>0</v>
      </c>
      <c r="F22" s="2430">
        <v>0</v>
      </c>
      <c r="G22" s="3526">
        <v>2022</v>
      </c>
    </row>
    <row r="23" spans="1:10" ht="27.75" customHeight="1" thickBot="1" x14ac:dyDescent="0.35">
      <c r="A23" s="3532"/>
      <c r="B23" s="3535"/>
      <c r="C23" s="2390" t="s">
        <v>1081</v>
      </c>
      <c r="D23" s="2431">
        <f>5868.75-1628.99</f>
        <v>4239.76</v>
      </c>
      <c r="E23" s="2431">
        <f>14400-14400</f>
        <v>0</v>
      </c>
      <c r="F23" s="2432">
        <v>0</v>
      </c>
      <c r="G23" s="3507"/>
    </row>
    <row r="24" spans="1:10" ht="43" customHeight="1" thickBot="1" x14ac:dyDescent="0.35">
      <c r="A24" s="3533"/>
      <c r="B24" s="3536"/>
      <c r="C24" s="2394" t="s">
        <v>1082</v>
      </c>
      <c r="D24" s="2433">
        <f>SUM(D22:D23)</f>
        <v>4326.3200000000006</v>
      </c>
      <c r="E24" s="2434">
        <f>SUM(E22:E23)</f>
        <v>0</v>
      </c>
      <c r="F24" s="2433">
        <f>SUM(F22:F23)</f>
        <v>0</v>
      </c>
      <c r="G24" s="3527"/>
    </row>
    <row r="25" spans="1:10" ht="34" hidden="1" customHeight="1" x14ac:dyDescent="0.3">
      <c r="A25" s="3537"/>
      <c r="B25" s="3538"/>
      <c r="C25" s="3538"/>
      <c r="D25" s="3538"/>
      <c r="E25" s="3538"/>
      <c r="F25" s="3539"/>
      <c r="G25" s="3526">
        <v>2022</v>
      </c>
    </row>
    <row r="26" spans="1:10" ht="35.5" hidden="1" customHeight="1" x14ac:dyDescent="0.3">
      <c r="A26" s="3540" t="s">
        <v>1083</v>
      </c>
      <c r="B26" s="3541" t="s">
        <v>1079</v>
      </c>
      <c r="C26" s="2893" t="s">
        <v>1080</v>
      </c>
      <c r="D26" s="2270">
        <v>0</v>
      </c>
      <c r="E26" s="2270">
        <v>0</v>
      </c>
      <c r="F26" s="2271">
        <v>0</v>
      </c>
      <c r="G26" s="3507"/>
      <c r="H26" s="2275"/>
      <c r="I26" s="2275"/>
      <c r="J26" s="2275"/>
    </row>
    <row r="27" spans="1:10" ht="35.5" hidden="1" customHeight="1" x14ac:dyDescent="0.3">
      <c r="A27" s="3540"/>
      <c r="B27" s="3541"/>
      <c r="C27" s="2893" t="s">
        <v>1081</v>
      </c>
      <c r="D27" s="2270">
        <v>0</v>
      </c>
      <c r="E27" s="2270">
        <v>0</v>
      </c>
      <c r="F27" s="2271">
        <v>0</v>
      </c>
      <c r="G27" s="3507"/>
      <c r="H27" s="2275"/>
      <c r="I27" s="2275"/>
      <c r="J27" s="2275"/>
    </row>
    <row r="28" spans="1:10" ht="35.5" hidden="1" customHeight="1" x14ac:dyDescent="0.3">
      <c r="A28" s="3540"/>
      <c r="B28" s="3541"/>
      <c r="C28" s="2893" t="s">
        <v>1082</v>
      </c>
      <c r="D28" s="2270">
        <f>SUM(D26:D27)</f>
        <v>0</v>
      </c>
      <c r="E28" s="2270">
        <f>SUM(E26:E27)</f>
        <v>0</v>
      </c>
      <c r="F28" s="2271">
        <f>SUM(F26:F27)</f>
        <v>0</v>
      </c>
      <c r="G28" s="3507"/>
      <c r="H28" s="2275"/>
      <c r="I28" s="2275"/>
      <c r="J28" s="2275"/>
    </row>
    <row r="29" spans="1:10" ht="28.5" hidden="1" customHeight="1" x14ac:dyDescent="0.3">
      <c r="A29" s="3540" t="s">
        <v>1084</v>
      </c>
      <c r="B29" s="3541" t="s">
        <v>1079</v>
      </c>
      <c r="C29" s="2893" t="s">
        <v>1080</v>
      </c>
      <c r="D29" s="2270">
        <v>0</v>
      </c>
      <c r="E29" s="2270">
        <v>0</v>
      </c>
      <c r="F29" s="2271">
        <v>0</v>
      </c>
      <c r="G29" s="3507"/>
      <c r="H29" s="2275"/>
      <c r="I29" s="2275"/>
      <c r="J29" s="2275"/>
    </row>
    <row r="30" spans="1:10" ht="28.5" hidden="1" customHeight="1" x14ac:dyDescent="0.3">
      <c r="A30" s="3540"/>
      <c r="B30" s="3541"/>
      <c r="C30" s="2893" t="s">
        <v>1081</v>
      </c>
      <c r="D30" s="2270">
        <v>0</v>
      </c>
      <c r="E30" s="2270">
        <v>0</v>
      </c>
      <c r="F30" s="2271">
        <v>0</v>
      </c>
      <c r="G30" s="3507"/>
      <c r="H30" s="2275"/>
      <c r="I30" s="2275"/>
      <c r="J30" s="2275"/>
    </row>
    <row r="31" spans="1:10" ht="28.5" hidden="1" customHeight="1" x14ac:dyDescent="0.3">
      <c r="A31" s="3540"/>
      <c r="B31" s="3541"/>
      <c r="C31" s="2893" t="s">
        <v>1082</v>
      </c>
      <c r="D31" s="2270">
        <f>SUM(D29:D30)</f>
        <v>0</v>
      </c>
      <c r="E31" s="2270">
        <f>SUM(E29:E30)</f>
        <v>0</v>
      </c>
      <c r="F31" s="2271">
        <f>SUM(F29:F30)</f>
        <v>0</v>
      </c>
      <c r="G31" s="3507"/>
      <c r="H31" s="2275"/>
      <c r="I31" s="2275"/>
      <c r="J31" s="2275"/>
    </row>
    <row r="32" spans="1:10" ht="28.5" hidden="1" customHeight="1" x14ac:dyDescent="0.3">
      <c r="A32" s="3540" t="s">
        <v>1085</v>
      </c>
      <c r="B32" s="3541" t="s">
        <v>1079</v>
      </c>
      <c r="C32" s="2893" t="s">
        <v>1080</v>
      </c>
      <c r="D32" s="2270">
        <v>0</v>
      </c>
      <c r="E32" s="2270">
        <v>0</v>
      </c>
      <c r="F32" s="2271">
        <v>0</v>
      </c>
      <c r="G32" s="3507"/>
      <c r="H32" s="2275"/>
      <c r="I32" s="2275"/>
      <c r="J32" s="2275"/>
    </row>
    <row r="33" spans="1:10" ht="28.5" hidden="1" customHeight="1" x14ac:dyDescent="0.3">
      <c r="A33" s="3540"/>
      <c r="B33" s="3541"/>
      <c r="C33" s="2893" t="s">
        <v>1081</v>
      </c>
      <c r="D33" s="2270">
        <v>0</v>
      </c>
      <c r="E33" s="2270">
        <v>0</v>
      </c>
      <c r="F33" s="2271">
        <v>0</v>
      </c>
      <c r="G33" s="3507"/>
      <c r="H33" s="2275"/>
      <c r="I33" s="2275"/>
      <c r="J33" s="2275"/>
    </row>
    <row r="34" spans="1:10" ht="28.5" hidden="1" customHeight="1" x14ac:dyDescent="0.3">
      <c r="A34" s="3540"/>
      <c r="B34" s="3504"/>
      <c r="C34" s="2893" t="s">
        <v>1082</v>
      </c>
      <c r="D34" s="2270">
        <f>SUM(D32:D33)</f>
        <v>0</v>
      </c>
      <c r="E34" s="2270">
        <f>SUM(E32:E33)</f>
        <v>0</v>
      </c>
      <c r="F34" s="2271">
        <f>SUM(F32:F33)</f>
        <v>0</v>
      </c>
      <c r="G34" s="3507"/>
      <c r="H34" s="2275"/>
      <c r="I34" s="2275"/>
      <c r="J34" s="2275"/>
    </row>
    <row r="35" spans="1:10" s="2277" customFormat="1" ht="28.5" customHeight="1" x14ac:dyDescent="0.3">
      <c r="A35" s="3542" t="s">
        <v>1133</v>
      </c>
      <c r="B35" s="3545" t="s">
        <v>1090</v>
      </c>
      <c r="C35" s="337" t="s">
        <v>1080</v>
      </c>
      <c r="D35" s="2435">
        <f>33.112+139.358+600+826.097+120</f>
        <v>1718.567</v>
      </c>
      <c r="E35" s="2435">
        <f>33.112+139.358+1965.092</f>
        <v>2137.5619999999999</v>
      </c>
      <c r="F35" s="2436"/>
      <c r="G35" s="3507"/>
      <c r="H35" s="2276"/>
      <c r="I35" s="2276"/>
      <c r="J35" s="2276"/>
    </row>
    <row r="36" spans="1:10" s="2277" customFormat="1" ht="28.5" customHeight="1" thickBot="1" x14ac:dyDescent="0.35">
      <c r="A36" s="3543"/>
      <c r="B36" s="3546"/>
      <c r="C36" s="2390" t="s">
        <v>1081</v>
      </c>
      <c r="D36" s="2431">
        <v>3278</v>
      </c>
      <c r="E36" s="2431">
        <f>3278+2376.89</f>
        <v>5654.8899999999994</v>
      </c>
      <c r="F36" s="2432">
        <f t="shared" ref="F36" si="0">F27+F30+F33</f>
        <v>0</v>
      </c>
      <c r="G36" s="3507"/>
      <c r="H36" s="2276"/>
      <c r="I36" s="2276"/>
      <c r="J36" s="2276"/>
    </row>
    <row r="37" spans="1:10" s="2277" customFormat="1" ht="74.25" customHeight="1" thickBot="1" x14ac:dyDescent="0.35">
      <c r="A37" s="3544"/>
      <c r="B37" s="3546"/>
      <c r="C37" s="2391" t="s">
        <v>1134</v>
      </c>
      <c r="D37" s="2437">
        <f>D35+D36</f>
        <v>4996.567</v>
      </c>
      <c r="E37" s="2437">
        <f>E35+E36</f>
        <v>7792.4519999999993</v>
      </c>
      <c r="F37" s="2438">
        <f>F35</f>
        <v>0</v>
      </c>
      <c r="G37" s="3527"/>
      <c r="H37" s="2276"/>
      <c r="I37" s="2276"/>
      <c r="J37" s="2276"/>
    </row>
    <row r="38" spans="1:10" s="2277" customFormat="1" ht="32.5" customHeight="1" x14ac:dyDescent="0.3">
      <c r="A38" s="3542" t="s">
        <v>1135</v>
      </c>
      <c r="B38" s="3546"/>
      <c r="C38" s="2392" t="s">
        <v>1080</v>
      </c>
      <c r="D38" s="2439">
        <f>0.96+4.04</f>
        <v>5</v>
      </c>
      <c r="E38" s="2439">
        <f>1328.89+636.202-1965.092</f>
        <v>0</v>
      </c>
      <c r="F38" s="2440">
        <f>23.92+100.24</f>
        <v>124.16</v>
      </c>
      <c r="G38" s="3526">
        <v>2023</v>
      </c>
      <c r="H38" s="2276"/>
      <c r="I38" s="2276"/>
      <c r="J38" s="2276"/>
    </row>
    <row r="39" spans="1:10" s="2277" customFormat="1" ht="30.65" customHeight="1" thickBot="1" x14ac:dyDescent="0.35">
      <c r="A39" s="3543"/>
      <c r="B39" s="3546"/>
      <c r="C39" s="2390" t="s">
        <v>1081</v>
      </c>
      <c r="D39" s="2431">
        <f>95</f>
        <v>95</v>
      </c>
      <c r="E39" s="2431">
        <v>0</v>
      </c>
      <c r="F39" s="2432">
        <v>2368</v>
      </c>
      <c r="G39" s="3507"/>
      <c r="H39" s="2276"/>
      <c r="I39" s="2276"/>
      <c r="J39" s="2276"/>
    </row>
    <row r="40" spans="1:10" s="2277" customFormat="1" ht="32.5" customHeight="1" thickBot="1" x14ac:dyDescent="0.35">
      <c r="A40" s="3543"/>
      <c r="B40" s="3546"/>
      <c r="C40" s="2394" t="s">
        <v>1134</v>
      </c>
      <c r="D40" s="2433">
        <f>D38+D39</f>
        <v>100</v>
      </c>
      <c r="E40" s="2433">
        <f>E38</f>
        <v>0</v>
      </c>
      <c r="F40" s="2441">
        <f>F38+F39</f>
        <v>2492.16</v>
      </c>
      <c r="G40" s="3507"/>
      <c r="H40" s="2276"/>
      <c r="I40" s="2276"/>
      <c r="J40" s="2276"/>
    </row>
    <row r="41" spans="1:10" s="2277" customFormat="1" ht="32.5" customHeight="1" thickBot="1" x14ac:dyDescent="0.35">
      <c r="A41" s="3548"/>
      <c r="B41" s="3547"/>
      <c r="C41" s="2398" t="s">
        <v>1082</v>
      </c>
      <c r="D41" s="2433">
        <f>D37+D40</f>
        <v>5096.567</v>
      </c>
      <c r="E41" s="2442">
        <f>E37+E40</f>
        <v>7792.4519999999993</v>
      </c>
      <c r="F41" s="2433">
        <f>F37+F40</f>
        <v>2492.16</v>
      </c>
      <c r="G41" s="3527"/>
      <c r="H41" s="2276"/>
      <c r="I41" s="2276"/>
      <c r="J41" s="2276"/>
    </row>
    <row r="42" spans="1:10" s="2277" customFormat="1" ht="13" customHeight="1" x14ac:dyDescent="0.3">
      <c r="A42" s="3517" t="s">
        <v>1177</v>
      </c>
      <c r="B42" s="3518"/>
      <c r="C42" s="3518"/>
      <c r="D42" s="3518"/>
      <c r="E42" s="3518"/>
      <c r="F42" s="3518"/>
      <c r="G42" s="3519"/>
      <c r="H42" s="2276"/>
      <c r="I42" s="2276"/>
      <c r="J42" s="2276"/>
    </row>
    <row r="43" spans="1:10" s="2277" customFormat="1" ht="13" customHeight="1" x14ac:dyDescent="0.3">
      <c r="A43" s="3520"/>
      <c r="B43" s="3521"/>
      <c r="C43" s="3521"/>
      <c r="D43" s="3521"/>
      <c r="E43" s="3521"/>
      <c r="F43" s="3521"/>
      <c r="G43" s="3522"/>
      <c r="H43" s="2276"/>
      <c r="I43" s="2276"/>
      <c r="J43" s="2276"/>
    </row>
    <row r="44" spans="1:10" s="2277" customFormat="1" ht="13.75" customHeight="1" thickBot="1" x14ac:dyDescent="0.35">
      <c r="A44" s="2278"/>
      <c r="B44" s="2279"/>
      <c r="C44" s="2279"/>
      <c r="D44" s="2279"/>
      <c r="E44" s="2279"/>
      <c r="F44" s="2280"/>
      <c r="G44" s="2281"/>
      <c r="H44" s="2276"/>
      <c r="I44" s="2276"/>
      <c r="J44" s="2276"/>
    </row>
    <row r="45" spans="1:10" s="2277" customFormat="1" ht="22.5" customHeight="1" thickBot="1" x14ac:dyDescent="0.35">
      <c r="A45" s="2895" t="s">
        <v>1131</v>
      </c>
      <c r="B45" s="2265"/>
      <c r="C45" s="2269"/>
      <c r="D45" s="2266">
        <v>0</v>
      </c>
      <c r="E45" s="2267">
        <f>E48+E51+E54+E57</f>
        <v>17000</v>
      </c>
      <c r="F45" s="2268">
        <f>F46+F49+F52+F55</f>
        <v>0</v>
      </c>
      <c r="G45" s="2265"/>
      <c r="H45" s="2276"/>
      <c r="I45" s="2276"/>
      <c r="J45" s="2276"/>
    </row>
    <row r="46" spans="1:10" s="2277" customFormat="1" ht="25.15" customHeight="1" thickTop="1" x14ac:dyDescent="0.3">
      <c r="A46" s="3523" t="s">
        <v>1178</v>
      </c>
      <c r="B46" s="3524" t="s">
        <v>1090</v>
      </c>
      <c r="C46" s="2282" t="s">
        <v>1080</v>
      </c>
      <c r="D46" s="2283">
        <v>0</v>
      </c>
      <c r="E46" s="2283">
        <v>9000</v>
      </c>
      <c r="F46" s="2353">
        <v>0</v>
      </c>
      <c r="G46" s="3525" t="s">
        <v>1181</v>
      </c>
      <c r="H46" s="2276"/>
      <c r="I46" s="2276"/>
      <c r="J46" s="2276"/>
    </row>
    <row r="47" spans="1:10" s="2277" customFormat="1" ht="23.25" customHeight="1" thickBot="1" x14ac:dyDescent="0.35">
      <c r="A47" s="3502"/>
      <c r="B47" s="3505"/>
      <c r="C47" s="2336" t="s">
        <v>1081</v>
      </c>
      <c r="D47" s="2337">
        <v>0</v>
      </c>
      <c r="E47" s="2337">
        <v>0</v>
      </c>
      <c r="F47" s="2338">
        <v>0</v>
      </c>
      <c r="G47" s="3507"/>
      <c r="H47" s="2276"/>
      <c r="I47" s="2276"/>
      <c r="J47" s="2276"/>
    </row>
    <row r="48" spans="1:10" s="2277" customFormat="1" ht="28.5" customHeight="1" thickBot="1" x14ac:dyDescent="0.35">
      <c r="A48" s="3503"/>
      <c r="B48" s="3506"/>
      <c r="C48" s="2345" t="s">
        <v>1082</v>
      </c>
      <c r="D48" s="2346">
        <f>D46+D47</f>
        <v>0</v>
      </c>
      <c r="E48" s="2346">
        <f>E46+E47</f>
        <v>9000</v>
      </c>
      <c r="F48" s="2346">
        <f>F46+F47</f>
        <v>0</v>
      </c>
      <c r="G48" s="3507"/>
      <c r="H48" s="2276"/>
      <c r="I48" s="2276"/>
      <c r="J48" s="2276"/>
    </row>
    <row r="49" spans="1:10" s="2277" customFormat="1" ht="23.25" hidden="1" customHeight="1" x14ac:dyDescent="0.3">
      <c r="A49" s="3501" t="s">
        <v>1179</v>
      </c>
      <c r="B49" s="3504" t="s">
        <v>1090</v>
      </c>
      <c r="C49" s="2284" t="s">
        <v>1080</v>
      </c>
      <c r="D49" s="2337">
        <v>0</v>
      </c>
      <c r="E49" s="2343">
        <v>0</v>
      </c>
      <c r="F49" s="2344">
        <v>0</v>
      </c>
      <c r="G49" s="3507"/>
      <c r="H49" s="2276"/>
      <c r="I49" s="2276"/>
      <c r="J49" s="2276"/>
    </row>
    <row r="50" spans="1:10" s="2277" customFormat="1" ht="23.25" hidden="1" customHeight="1" thickBot="1" x14ac:dyDescent="0.35">
      <c r="A50" s="3502"/>
      <c r="B50" s="3505"/>
      <c r="C50" s="2336" t="s">
        <v>1081</v>
      </c>
      <c r="D50" s="2337">
        <v>0</v>
      </c>
      <c r="E50" s="2337">
        <v>0</v>
      </c>
      <c r="F50" s="2337">
        <v>0</v>
      </c>
      <c r="G50" s="3507"/>
      <c r="H50" s="2276"/>
      <c r="I50" s="2276"/>
      <c r="J50" s="2276"/>
    </row>
    <row r="51" spans="1:10" s="2277" customFormat="1" ht="30" hidden="1" customHeight="1" thickBot="1" x14ac:dyDescent="0.35">
      <c r="A51" s="3503"/>
      <c r="B51" s="3506"/>
      <c r="C51" s="2345" t="s">
        <v>1082</v>
      </c>
      <c r="D51" s="2347">
        <f>D49+D50</f>
        <v>0</v>
      </c>
      <c r="E51" s="2347">
        <f>E49+E50</f>
        <v>0</v>
      </c>
      <c r="F51" s="2347">
        <f>F49+F50</f>
        <v>0</v>
      </c>
      <c r="G51" s="3507"/>
      <c r="H51" s="2276"/>
      <c r="I51" s="2276"/>
      <c r="J51" s="2276"/>
    </row>
    <row r="52" spans="1:10" s="2277" customFormat="1" ht="23.25" hidden="1" customHeight="1" x14ac:dyDescent="0.3">
      <c r="A52" s="3501" t="s">
        <v>1180</v>
      </c>
      <c r="B52" s="3504" t="s">
        <v>1090</v>
      </c>
      <c r="C52" s="2284" t="s">
        <v>1080</v>
      </c>
      <c r="D52" s="2337">
        <v>0</v>
      </c>
      <c r="E52" s="2343">
        <v>0</v>
      </c>
      <c r="F52" s="2344">
        <v>0</v>
      </c>
      <c r="G52" s="3507"/>
      <c r="H52" s="2276"/>
      <c r="I52" s="2276"/>
      <c r="J52" s="2276"/>
    </row>
    <row r="53" spans="1:10" s="2277" customFormat="1" ht="23.25" hidden="1" customHeight="1" thickBot="1" x14ac:dyDescent="0.35">
      <c r="A53" s="3502"/>
      <c r="B53" s="3505"/>
      <c r="C53" s="2336" t="s">
        <v>1081</v>
      </c>
      <c r="D53" s="2337">
        <v>0</v>
      </c>
      <c r="E53" s="2337">
        <v>0</v>
      </c>
      <c r="F53" s="2337">
        <v>0</v>
      </c>
      <c r="G53" s="3507"/>
      <c r="H53" s="2276"/>
      <c r="I53" s="2276"/>
      <c r="J53" s="2276"/>
    </row>
    <row r="54" spans="1:10" s="2277" customFormat="1" ht="29.25" hidden="1" customHeight="1" thickBot="1" x14ac:dyDescent="0.35">
      <c r="A54" s="3503"/>
      <c r="B54" s="3506"/>
      <c r="C54" s="2345" t="s">
        <v>1082</v>
      </c>
      <c r="D54" s="2347">
        <f>D52+D53</f>
        <v>0</v>
      </c>
      <c r="E54" s="2347">
        <v>0</v>
      </c>
      <c r="F54" s="2347">
        <f>F52+F53</f>
        <v>0</v>
      </c>
      <c r="G54" s="3507"/>
      <c r="H54" s="2276"/>
      <c r="I54" s="2276"/>
      <c r="J54" s="2276"/>
    </row>
    <row r="55" spans="1:10" s="2277" customFormat="1" ht="23.25" customHeight="1" x14ac:dyDescent="0.3">
      <c r="A55" s="3501" t="s">
        <v>1183</v>
      </c>
      <c r="B55" s="3504" t="s">
        <v>1090</v>
      </c>
      <c r="C55" s="2284" t="s">
        <v>1080</v>
      </c>
      <c r="D55" s="2337">
        <v>0</v>
      </c>
      <c r="E55" s="2343">
        <v>8000</v>
      </c>
      <c r="F55" s="2344">
        <v>0</v>
      </c>
      <c r="G55" s="3507" t="s">
        <v>1182</v>
      </c>
      <c r="H55" s="2276"/>
      <c r="I55" s="2276"/>
      <c r="J55" s="2276"/>
    </row>
    <row r="56" spans="1:10" s="2277" customFormat="1" ht="23.25" customHeight="1" thickBot="1" x14ac:dyDescent="0.35">
      <c r="A56" s="3502"/>
      <c r="B56" s="3505"/>
      <c r="C56" s="2336" t="s">
        <v>1081</v>
      </c>
      <c r="D56" s="2337">
        <v>0</v>
      </c>
      <c r="E56" s="2337">
        <v>0</v>
      </c>
      <c r="F56" s="2337">
        <v>0</v>
      </c>
      <c r="G56" s="3507"/>
      <c r="H56" s="2276"/>
      <c r="I56" s="2276"/>
      <c r="J56" s="2276"/>
    </row>
    <row r="57" spans="1:10" s="2277" customFormat="1" ht="29.25" customHeight="1" thickBot="1" x14ac:dyDescent="0.35">
      <c r="A57" s="3503"/>
      <c r="B57" s="3506"/>
      <c r="C57" s="2352" t="s">
        <v>1082</v>
      </c>
      <c r="D57" s="2347">
        <f>D55+D56</f>
        <v>0</v>
      </c>
      <c r="E57" s="2347">
        <f>E55+E56</f>
        <v>8000</v>
      </c>
      <c r="F57" s="2348">
        <f>F55+F56</f>
        <v>0</v>
      </c>
      <c r="G57" s="3507"/>
      <c r="H57" s="2276"/>
      <c r="I57" s="2276"/>
      <c r="J57" s="2276"/>
    </row>
    <row r="58" spans="1:10" s="2277" customFormat="1" ht="23.25" hidden="1" customHeight="1" x14ac:dyDescent="0.3">
      <c r="A58" s="2339"/>
      <c r="B58" s="2341"/>
      <c r="C58" s="2351"/>
      <c r="D58" s="2343"/>
      <c r="E58" s="2343"/>
      <c r="F58" s="2344"/>
      <c r="G58" s="2349"/>
      <c r="H58" s="2276"/>
      <c r="I58" s="2276"/>
      <c r="J58" s="2276"/>
    </row>
    <row r="59" spans="1:10" s="2277" customFormat="1" ht="23.25" hidden="1" customHeight="1" x14ac:dyDescent="0.3">
      <c r="A59" s="2339"/>
      <c r="B59" s="2341"/>
      <c r="C59" s="2336"/>
      <c r="D59" s="2337"/>
      <c r="E59" s="2337"/>
      <c r="F59" s="2338"/>
      <c r="G59" s="2349"/>
      <c r="H59" s="2276"/>
      <c r="I59" s="2276"/>
      <c r="J59" s="2276"/>
    </row>
    <row r="60" spans="1:10" s="2277" customFormat="1" ht="23.25" hidden="1" customHeight="1" x14ac:dyDescent="0.3">
      <c r="A60" s="2339"/>
      <c r="B60" s="2341"/>
      <c r="C60" s="2336"/>
      <c r="D60" s="2337"/>
      <c r="E60" s="2337"/>
      <c r="F60" s="2338"/>
      <c r="G60" s="2349"/>
      <c r="H60" s="2276"/>
      <c r="I60" s="2276"/>
      <c r="J60" s="2276"/>
    </row>
    <row r="61" spans="1:10" s="2277" customFormat="1" ht="23.25" hidden="1" customHeight="1" x14ac:dyDescent="0.3">
      <c r="A61" s="2339"/>
      <c r="B61" s="2341"/>
      <c r="C61" s="2336"/>
      <c r="D61" s="2337"/>
      <c r="E61" s="2337"/>
      <c r="F61" s="2338"/>
      <c r="G61" s="2349"/>
      <c r="H61" s="2276"/>
      <c r="I61" s="2276"/>
      <c r="J61" s="2276"/>
    </row>
    <row r="62" spans="1:10" s="2277" customFormat="1" ht="23.25" hidden="1" customHeight="1" x14ac:dyDescent="0.3">
      <c r="A62" s="2339"/>
      <c r="B62" s="2341"/>
      <c r="C62" s="2336"/>
      <c r="D62" s="2337"/>
      <c r="E62" s="2337"/>
      <c r="F62" s="2338"/>
      <c r="G62" s="2349"/>
      <c r="H62" s="2276"/>
      <c r="I62" s="2276"/>
      <c r="J62" s="2276"/>
    </row>
    <row r="63" spans="1:10" s="2277" customFormat="1" ht="23.25" hidden="1" customHeight="1" x14ac:dyDescent="0.3">
      <c r="A63" s="2339"/>
      <c r="B63" s="2341"/>
      <c r="C63" s="2336"/>
      <c r="D63" s="2337"/>
      <c r="E63" s="2337"/>
      <c r="F63" s="2338"/>
      <c r="G63" s="2349"/>
      <c r="H63" s="2276"/>
      <c r="I63" s="2276"/>
      <c r="J63" s="2276"/>
    </row>
    <row r="64" spans="1:10" s="2277" customFormat="1" ht="31.5" hidden="1" customHeight="1" thickBot="1" x14ac:dyDescent="0.35">
      <c r="A64" s="2340"/>
      <c r="B64" s="2342"/>
      <c r="C64" s="2272" t="s">
        <v>1082</v>
      </c>
      <c r="D64" s="2273">
        <f>SUM(D46:D47)</f>
        <v>0</v>
      </c>
      <c r="E64" s="2273">
        <f>SUM(E46:E47)</f>
        <v>9000</v>
      </c>
      <c r="F64" s="2274">
        <f>SUM(F46:F47)</f>
        <v>0</v>
      </c>
      <c r="G64" s="2350"/>
      <c r="H64" s="2276"/>
      <c r="I64" s="2276"/>
      <c r="J64" s="2276"/>
    </row>
    <row r="65" spans="1:10" s="2286" customFormat="1" ht="28.5" customHeight="1" thickBot="1" x14ac:dyDescent="0.35">
      <c r="A65" s="3508" t="s">
        <v>1209</v>
      </c>
      <c r="B65" s="3511" t="s">
        <v>828</v>
      </c>
      <c r="C65" s="2395" t="s">
        <v>1080</v>
      </c>
      <c r="D65" s="2443">
        <f t="shared" ref="D65:F66" si="1">D22+D35+D38</f>
        <v>1810.127</v>
      </c>
      <c r="E65" s="2444">
        <f>E22+E35+E38+E45</f>
        <v>19137.561999999998</v>
      </c>
      <c r="F65" s="2445">
        <f t="shared" si="1"/>
        <v>124.16</v>
      </c>
      <c r="G65" s="3514" t="s">
        <v>1087</v>
      </c>
      <c r="H65" s="2285"/>
      <c r="I65" s="2285"/>
      <c r="J65" s="2285"/>
    </row>
    <row r="66" spans="1:10" s="2286" customFormat="1" ht="28.5" customHeight="1" thickBot="1" x14ac:dyDescent="0.35">
      <c r="A66" s="3509"/>
      <c r="B66" s="3512"/>
      <c r="C66" s="2396" t="s">
        <v>1081</v>
      </c>
      <c r="D66" s="2434">
        <f t="shared" si="1"/>
        <v>7612.76</v>
      </c>
      <c r="E66" s="2433">
        <f>E23+E36+E39</f>
        <v>5654.8899999999994</v>
      </c>
      <c r="F66" s="2441">
        <f t="shared" si="1"/>
        <v>2368</v>
      </c>
      <c r="G66" s="3515"/>
      <c r="H66" s="2285"/>
      <c r="I66" s="2285"/>
      <c r="J66" s="2285"/>
    </row>
    <row r="67" spans="1:10" s="2286" customFormat="1" ht="26.5" thickBot="1" x14ac:dyDescent="0.35">
      <c r="A67" s="3510"/>
      <c r="B67" s="3513"/>
      <c r="C67" s="2397" t="s">
        <v>1088</v>
      </c>
      <c r="D67" s="2446">
        <f>D65+D66</f>
        <v>9422.8870000000006</v>
      </c>
      <c r="E67" s="2447">
        <f>E65+E66</f>
        <v>24792.451999999997</v>
      </c>
      <c r="F67" s="2446">
        <f>F65+F66</f>
        <v>2492.16</v>
      </c>
      <c r="G67" s="3516"/>
      <c r="H67" s="2285"/>
      <c r="I67" s="2285"/>
      <c r="J67" s="2285"/>
    </row>
    <row r="68" spans="1:10" x14ac:dyDescent="0.3">
      <c r="D68" s="2003"/>
      <c r="E68" s="2003"/>
      <c r="F68" s="2003"/>
    </row>
    <row r="69" spans="1:10" s="2261" customFormat="1" ht="15.5" x14ac:dyDescent="0.35">
      <c r="C69" s="2287"/>
    </row>
  </sheetData>
  <mergeCells count="44">
    <mergeCell ref="E1:G1"/>
    <mergeCell ref="E2:G2"/>
    <mergeCell ref="E3:G3"/>
    <mergeCell ref="E4:G4"/>
    <mergeCell ref="F7:G7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42:G43"/>
    <mergeCell ref="A46:A48"/>
    <mergeCell ref="B46:B48"/>
    <mergeCell ref="G46:G54"/>
    <mergeCell ref="A49:A51"/>
    <mergeCell ref="B49:B51"/>
    <mergeCell ref="A52:A54"/>
    <mergeCell ref="B52:B54"/>
    <mergeCell ref="A55:A57"/>
    <mergeCell ref="B55:B57"/>
    <mergeCell ref="G55:G57"/>
    <mergeCell ref="A65:A67"/>
    <mergeCell ref="B65:B67"/>
    <mergeCell ref="G65:G67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2"/>
  <sheetViews>
    <sheetView topLeftCell="B10" zoomScale="82" zoomScaleNormal="82" workbookViewId="0">
      <selection activeCell="B41" sqref="B41:G41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21" ht="15.5" x14ac:dyDescent="0.35">
      <c r="H1" s="2845" t="s">
        <v>1232</v>
      </c>
      <c r="I1" s="2848"/>
      <c r="J1" s="2848"/>
      <c r="K1" s="2848"/>
      <c r="L1" s="2848"/>
      <c r="M1" s="2848"/>
      <c r="N1" s="2848"/>
      <c r="O1" s="2848"/>
      <c r="P1" s="2848"/>
      <c r="Q1" s="2848"/>
      <c r="R1" s="2848"/>
      <c r="S1" s="2848"/>
      <c r="T1" s="2848"/>
      <c r="U1" s="2848"/>
    </row>
    <row r="2" spans="1:21" ht="15.5" x14ac:dyDescent="0.35">
      <c r="H2" s="2845" t="s">
        <v>450</v>
      </c>
      <c r="I2" s="2848"/>
      <c r="J2" s="2848"/>
      <c r="K2" s="2848"/>
      <c r="L2" s="2848"/>
      <c r="M2" s="2848"/>
      <c r="N2" s="2848"/>
      <c r="O2" s="2848"/>
      <c r="P2" s="2848"/>
      <c r="Q2" s="2848"/>
      <c r="R2" s="2848"/>
      <c r="S2" s="2848"/>
      <c r="T2" s="2848"/>
      <c r="U2" s="2848"/>
    </row>
    <row r="3" spans="1:21" ht="15.5" x14ac:dyDescent="0.35">
      <c r="H3" s="2845" t="s">
        <v>449</v>
      </c>
      <c r="I3" s="2848"/>
      <c r="J3" s="2848"/>
      <c r="K3" s="2848"/>
      <c r="L3" s="2848"/>
      <c r="M3" s="2848"/>
      <c r="N3" s="2848"/>
      <c r="O3" s="2848"/>
      <c r="P3" s="2848"/>
      <c r="Q3" s="2848"/>
      <c r="R3" s="2848"/>
      <c r="S3" s="2848"/>
      <c r="T3" s="2848"/>
      <c r="U3" s="2848"/>
    </row>
    <row r="4" spans="1:21" ht="15.5" x14ac:dyDescent="0.35">
      <c r="H4" s="2845" t="s">
        <v>448</v>
      </c>
      <c r="I4" s="2848"/>
      <c r="J4" s="2848"/>
      <c r="K4" s="2848"/>
      <c r="L4" s="2848"/>
      <c r="M4" s="2848"/>
      <c r="N4" s="2848"/>
      <c r="O4" s="2848"/>
      <c r="P4" s="2848"/>
      <c r="Q4" s="2848"/>
      <c r="R4" s="2848"/>
      <c r="S4" s="2848"/>
      <c r="T4" s="2848"/>
      <c r="U4" s="2848"/>
    </row>
    <row r="5" spans="1:21" ht="15.5" x14ac:dyDescent="0.25">
      <c r="H5" s="2859" t="s">
        <v>1237</v>
      </c>
      <c r="I5" s="2140"/>
      <c r="J5" s="2140"/>
      <c r="K5" s="2140"/>
      <c r="L5" s="2140"/>
      <c r="M5" s="2140"/>
      <c r="N5" s="2140"/>
      <c r="O5" s="2140"/>
      <c r="P5" s="2140"/>
      <c r="Q5" s="2140"/>
      <c r="R5" s="2140"/>
      <c r="S5" s="2140"/>
      <c r="T5" s="2140"/>
      <c r="U5" s="2140"/>
    </row>
    <row r="6" spans="1:21" ht="26.15" customHeight="1" x14ac:dyDescent="0.35">
      <c r="A6" s="551"/>
      <c r="B6" s="552"/>
      <c r="C6" s="552"/>
      <c r="D6" s="552"/>
      <c r="E6" s="552"/>
      <c r="F6" s="552"/>
      <c r="G6" s="3559" t="s">
        <v>1235</v>
      </c>
      <c r="H6" s="3559"/>
      <c r="I6" s="3559"/>
      <c r="J6" s="3559"/>
    </row>
    <row r="7" spans="1:21" ht="15.5" x14ac:dyDescent="0.35">
      <c r="A7" s="554"/>
      <c r="B7" s="554"/>
      <c r="C7" s="554"/>
      <c r="D7" s="554"/>
      <c r="E7" s="554"/>
      <c r="F7" s="3559" t="s">
        <v>797</v>
      </c>
      <c r="G7" s="3559"/>
      <c r="H7" s="3559"/>
      <c r="I7" s="554"/>
      <c r="J7" s="554"/>
    </row>
    <row r="8" spans="1:21" ht="15.5" x14ac:dyDescent="0.35">
      <c r="A8" s="554"/>
      <c r="B8" s="3559" t="s">
        <v>449</v>
      </c>
      <c r="C8" s="3559"/>
      <c r="D8" s="3559"/>
      <c r="E8" s="3559"/>
      <c r="F8" s="3559"/>
      <c r="G8" s="3559"/>
      <c r="H8" s="3559"/>
      <c r="I8" s="3559"/>
      <c r="J8" s="3559"/>
      <c r="K8" s="554"/>
      <c r="L8" s="554"/>
      <c r="M8" s="554"/>
      <c r="N8" s="554"/>
      <c r="O8" s="554"/>
    </row>
    <row r="9" spans="1:21" ht="15.5" x14ac:dyDescent="0.35">
      <c r="A9" s="551"/>
      <c r="B9" s="554"/>
      <c r="C9" s="554"/>
      <c r="D9" s="3559" t="s">
        <v>798</v>
      </c>
      <c r="E9" s="3559"/>
      <c r="F9" s="3559"/>
      <c r="G9" s="3559"/>
      <c r="H9" s="3559"/>
      <c r="I9" s="554"/>
      <c r="J9" s="554"/>
      <c r="L9" s="554"/>
      <c r="M9" s="554"/>
      <c r="N9" s="554"/>
      <c r="O9" s="554"/>
    </row>
    <row r="10" spans="1:21" ht="18" customHeight="1" x14ac:dyDescent="0.35">
      <c r="A10" s="551"/>
      <c r="B10" s="552"/>
      <c r="C10" s="552"/>
      <c r="D10" s="552"/>
      <c r="E10" s="1770" t="s">
        <v>905</v>
      </c>
      <c r="F10" s="3258" t="s">
        <v>1223</v>
      </c>
      <c r="G10" s="3258"/>
      <c r="H10" s="3258"/>
      <c r="I10" s="552"/>
      <c r="J10" s="552"/>
      <c r="K10" s="552"/>
      <c r="L10" s="552"/>
      <c r="M10" s="552"/>
      <c r="N10" s="552"/>
    </row>
    <row r="11" spans="1:21" x14ac:dyDescent="0.25">
      <c r="F11" s="556"/>
      <c r="L11" s="555"/>
      <c r="M11" s="555"/>
      <c r="N11" s="556"/>
    </row>
    <row r="12" spans="1:21" ht="15.5" hidden="1" x14ac:dyDescent="0.25">
      <c r="F12" s="546"/>
      <c r="H12" s="2844" t="s">
        <v>446</v>
      </c>
      <c r="J12" s="546" t="s">
        <v>446</v>
      </c>
      <c r="L12" s="555"/>
      <c r="M12" s="555"/>
    </row>
    <row r="13" spans="1:21" ht="13" hidden="1" x14ac:dyDescent="0.25">
      <c r="F13" s="558"/>
      <c r="H13" s="384"/>
      <c r="L13" s="555"/>
      <c r="M13" s="555"/>
      <c r="N13" s="558"/>
    </row>
    <row r="14" spans="1:21" ht="15.5" hidden="1" x14ac:dyDescent="0.25">
      <c r="F14" s="546"/>
      <c r="H14" s="2844" t="s">
        <v>848</v>
      </c>
      <c r="J14" s="546" t="s">
        <v>445</v>
      </c>
      <c r="L14" s="555"/>
      <c r="M14" s="555"/>
    </row>
    <row r="15" spans="1:21" hidden="1" x14ac:dyDescent="0.25">
      <c r="F15" s="556"/>
    </row>
    <row r="16" spans="1:21" ht="12" customHeight="1" x14ac:dyDescent="0.25">
      <c r="F16" s="556"/>
    </row>
    <row r="17" spans="1:14" ht="13" hidden="1" x14ac:dyDescent="0.3">
      <c r="A17" s="3558"/>
      <c r="B17" s="3558"/>
      <c r="C17" s="3558"/>
      <c r="D17" s="3558"/>
      <c r="E17" s="3558"/>
      <c r="F17" s="3558"/>
    </row>
    <row r="18" spans="1:14" ht="69.75" customHeight="1" x14ac:dyDescent="0.3">
      <c r="A18" s="3562" t="s">
        <v>823</v>
      </c>
      <c r="B18" s="3562"/>
      <c r="C18" s="3562"/>
      <c r="D18" s="3562"/>
      <c r="E18" s="3562"/>
      <c r="F18" s="3562"/>
      <c r="G18" s="3562"/>
      <c r="H18" s="3562"/>
      <c r="I18" s="3562"/>
      <c r="J18" s="3562"/>
      <c r="L18" s="559" t="s">
        <v>106</v>
      </c>
    </row>
    <row r="19" spans="1:14" ht="15" customHeight="1" x14ac:dyDescent="0.3">
      <c r="A19" s="2846"/>
      <c r="B19" s="3562" t="s">
        <v>1201</v>
      </c>
      <c r="C19" s="3562"/>
      <c r="D19" s="3562"/>
      <c r="E19" s="3562"/>
      <c r="F19" s="3562"/>
      <c r="G19" s="3562"/>
      <c r="H19" s="3562"/>
      <c r="I19" s="3562"/>
      <c r="J19" s="3562"/>
      <c r="L19" s="559"/>
    </row>
    <row r="20" spans="1:14" ht="21" customHeight="1" thickBot="1" x14ac:dyDescent="0.35">
      <c r="A20" s="560"/>
      <c r="B20" s="560"/>
      <c r="C20" s="560"/>
      <c r="D20" s="560"/>
      <c r="E20" s="560"/>
      <c r="F20" s="560"/>
    </row>
    <row r="21" spans="1:14" s="564" customFormat="1" ht="45" x14ac:dyDescent="0.25">
      <c r="A21" s="561" t="s">
        <v>611</v>
      </c>
      <c r="B21" s="3563" t="s">
        <v>322</v>
      </c>
      <c r="C21" s="3563"/>
      <c r="D21" s="3563"/>
      <c r="E21" s="3563"/>
      <c r="F21" s="3563"/>
      <c r="G21" s="3563"/>
      <c r="H21" s="720" t="s">
        <v>827</v>
      </c>
      <c r="I21" s="562" t="s">
        <v>799</v>
      </c>
      <c r="J21" s="563" t="s">
        <v>800</v>
      </c>
    </row>
    <row r="22" spans="1:14" s="564" customFormat="1" ht="15" hidden="1" x14ac:dyDescent="0.25">
      <c r="A22" s="565"/>
      <c r="B22" s="721" t="s">
        <v>431</v>
      </c>
      <c r="C22" s="566" t="s">
        <v>430</v>
      </c>
      <c r="D22" s="567" t="s">
        <v>69</v>
      </c>
      <c r="E22" s="568"/>
      <c r="F22" s="568"/>
      <c r="G22" s="568"/>
      <c r="H22" s="722">
        <f>H23+H35</f>
        <v>806.84199999999998</v>
      </c>
      <c r="I22" s="569"/>
      <c r="J22" s="570"/>
    </row>
    <row r="23" spans="1:14" s="564" customFormat="1" ht="52" hidden="1" x14ac:dyDescent="0.25">
      <c r="A23" s="571"/>
      <c r="B23" s="669" t="s">
        <v>105</v>
      </c>
      <c r="C23" s="572" t="s">
        <v>106</v>
      </c>
      <c r="D23" s="572" t="s">
        <v>69</v>
      </c>
      <c r="E23" s="572" t="s">
        <v>103</v>
      </c>
      <c r="F23" s="573"/>
      <c r="G23" s="573"/>
      <c r="H23" s="723">
        <f>H27+H29+H32</f>
        <v>386.19200000000001</v>
      </c>
      <c r="I23" s="574"/>
      <c r="J23" s="575"/>
    </row>
    <row r="24" spans="1:14" s="564" customFormat="1" ht="52" hidden="1" x14ac:dyDescent="0.25">
      <c r="A24" s="571"/>
      <c r="B24" s="724" t="s">
        <v>583</v>
      </c>
      <c r="C24" s="572"/>
      <c r="D24" s="572" t="s">
        <v>69</v>
      </c>
      <c r="E24" s="572" t="s">
        <v>103</v>
      </c>
      <c r="F24" s="532" t="s">
        <v>157</v>
      </c>
      <c r="G24" s="573"/>
      <c r="H24" s="725">
        <f>H25</f>
        <v>57.192</v>
      </c>
      <c r="I24" s="574"/>
      <c r="J24" s="575"/>
    </row>
    <row r="25" spans="1:14" s="564" customFormat="1" ht="52" hidden="1" x14ac:dyDescent="0.25">
      <c r="A25" s="571"/>
      <c r="B25" s="2847" t="s">
        <v>156</v>
      </c>
      <c r="C25" s="572"/>
      <c r="D25" s="572" t="s">
        <v>69</v>
      </c>
      <c r="E25" s="572" t="s">
        <v>103</v>
      </c>
      <c r="F25" s="532" t="s">
        <v>155</v>
      </c>
      <c r="G25" s="573"/>
      <c r="H25" s="725">
        <f>H26</f>
        <v>57.192</v>
      </c>
      <c r="I25" s="574"/>
      <c r="J25" s="575"/>
    </row>
    <row r="26" spans="1:14" s="564" customFormat="1" ht="15.5" hidden="1" x14ac:dyDescent="0.25">
      <c r="A26" s="571"/>
      <c r="B26" s="724" t="s">
        <v>582</v>
      </c>
      <c r="C26" s="572"/>
      <c r="D26" s="572" t="s">
        <v>69</v>
      </c>
      <c r="E26" s="572" t="s">
        <v>103</v>
      </c>
      <c r="F26" s="532" t="s">
        <v>154</v>
      </c>
      <c r="G26" s="573"/>
      <c r="H26" s="725">
        <f>H27</f>
        <v>57.192</v>
      </c>
      <c r="I26" s="574"/>
      <c r="J26" s="575"/>
    </row>
    <row r="27" spans="1:14" s="580" customFormat="1" ht="38.5" customHeight="1" x14ac:dyDescent="0.35">
      <c r="A27" s="576"/>
      <c r="B27" s="3564" t="s">
        <v>824</v>
      </c>
      <c r="C27" s="3564"/>
      <c r="D27" s="3564"/>
      <c r="E27" s="3564"/>
      <c r="F27" s="3564"/>
      <c r="G27" s="3564"/>
      <c r="H27" s="2854">
        <v>57.192</v>
      </c>
      <c r="I27" s="578"/>
      <c r="J27" s="579"/>
      <c r="M27" s="581"/>
      <c r="N27" s="1"/>
    </row>
    <row r="28" spans="1:14" s="580" customFormat="1" ht="15.5" hidden="1" x14ac:dyDescent="0.35">
      <c r="A28" s="576"/>
      <c r="B28" s="728" t="s">
        <v>123</v>
      </c>
      <c r="C28" s="669"/>
      <c r="D28" s="669"/>
      <c r="E28" s="669"/>
      <c r="F28" s="714"/>
      <c r="G28" s="715" t="s">
        <v>120</v>
      </c>
      <c r="H28" s="2855">
        <v>43.95</v>
      </c>
      <c r="I28" s="578"/>
      <c r="J28" s="579"/>
      <c r="N28" s="1"/>
    </row>
    <row r="29" spans="1:14" s="580" customFormat="1" ht="54.65" customHeight="1" x14ac:dyDescent="0.35">
      <c r="A29" s="576"/>
      <c r="B29" s="3565" t="s">
        <v>826</v>
      </c>
      <c r="C29" s="3565"/>
      <c r="D29" s="3565"/>
      <c r="E29" s="3565"/>
      <c r="F29" s="3565"/>
      <c r="G29" s="3565"/>
      <c r="H29" s="2854">
        <v>329</v>
      </c>
      <c r="I29" s="578">
        <f>I31</f>
        <v>0</v>
      </c>
      <c r="J29" s="579">
        <f>J31</f>
        <v>0</v>
      </c>
      <c r="N29" s="1"/>
    </row>
    <row r="30" spans="1:14" s="580" customFormat="1" ht="46.5" hidden="1" customHeight="1" x14ac:dyDescent="0.35">
      <c r="A30" s="576"/>
      <c r="B30" s="724" t="s">
        <v>575</v>
      </c>
      <c r="C30" s="715"/>
      <c r="D30" s="715"/>
      <c r="E30" s="715"/>
      <c r="F30" s="715"/>
      <c r="G30" s="715"/>
      <c r="H30" s="2856"/>
      <c r="I30" s="583"/>
      <c r="J30" s="584"/>
      <c r="N30" s="1"/>
    </row>
    <row r="31" spans="1:14" s="580" customFormat="1" ht="15" hidden="1" customHeight="1" x14ac:dyDescent="0.35">
      <c r="A31" s="576"/>
      <c r="B31" s="728" t="s">
        <v>123</v>
      </c>
      <c r="C31" s="715"/>
      <c r="D31" s="715"/>
      <c r="E31" s="715"/>
      <c r="F31" s="312"/>
      <c r="G31" s="715" t="s">
        <v>120</v>
      </c>
      <c r="H31" s="2856">
        <v>321.3</v>
      </c>
      <c r="I31" s="583"/>
      <c r="J31" s="584"/>
      <c r="N31" s="1"/>
    </row>
    <row r="32" spans="1:14" s="580" customFormat="1" ht="46.15" hidden="1" customHeight="1" x14ac:dyDescent="0.35">
      <c r="A32" s="576"/>
      <c r="B32" s="3566" t="s">
        <v>825</v>
      </c>
      <c r="C32" s="3566"/>
      <c r="D32" s="3566"/>
      <c r="E32" s="3566"/>
      <c r="F32" s="3566"/>
      <c r="G32" s="3566"/>
      <c r="H32" s="2856">
        <v>0</v>
      </c>
      <c r="I32" s="583">
        <f>I33</f>
        <v>0</v>
      </c>
      <c r="J32" s="584">
        <f>J33</f>
        <v>0</v>
      </c>
      <c r="N32" s="1"/>
    </row>
    <row r="33" spans="1:14" s="580" customFormat="1" ht="15" hidden="1" customHeight="1" x14ac:dyDescent="0.35">
      <c r="A33" s="576"/>
      <c r="B33" s="728" t="s">
        <v>123</v>
      </c>
      <c r="C33" s="715"/>
      <c r="D33" s="715"/>
      <c r="E33" s="715"/>
      <c r="F33" s="312"/>
      <c r="G33" s="715" t="s">
        <v>120</v>
      </c>
      <c r="H33" s="2856">
        <v>213</v>
      </c>
      <c r="I33" s="583">
        <v>0</v>
      </c>
      <c r="J33" s="584">
        <v>0</v>
      </c>
      <c r="N33" s="1"/>
    </row>
    <row r="34" spans="1:14" s="580" customFormat="1" ht="60.65" hidden="1" customHeight="1" x14ac:dyDescent="0.35">
      <c r="A34" s="576"/>
      <c r="B34" s="731" t="s">
        <v>134</v>
      </c>
      <c r="C34" s="669"/>
      <c r="D34" s="669"/>
      <c r="E34" s="669"/>
      <c r="F34" s="715"/>
      <c r="G34" s="715"/>
      <c r="H34" s="2856"/>
      <c r="I34" s="583"/>
      <c r="J34" s="584"/>
      <c r="N34" s="1"/>
    </row>
    <row r="35" spans="1:14" s="580" customFormat="1" ht="49.15" hidden="1" customHeight="1" x14ac:dyDescent="0.35">
      <c r="A35" s="576"/>
      <c r="B35" s="669" t="s">
        <v>122</v>
      </c>
      <c r="C35" s="715"/>
      <c r="D35" s="669"/>
      <c r="E35" s="715"/>
      <c r="F35" s="669"/>
      <c r="G35" s="669" t="s">
        <v>71</v>
      </c>
      <c r="H35" s="2854">
        <f>H36</f>
        <v>420.65</v>
      </c>
      <c r="I35" s="578">
        <f>I36</f>
        <v>0</v>
      </c>
      <c r="J35" s="579">
        <f>J36</f>
        <v>0</v>
      </c>
      <c r="N35" s="1"/>
    </row>
    <row r="36" spans="1:14" s="580" customFormat="1" ht="52" hidden="1" x14ac:dyDescent="0.35">
      <c r="A36" s="576"/>
      <c r="B36" s="724" t="s">
        <v>583</v>
      </c>
      <c r="C36" s="715"/>
      <c r="D36" s="669"/>
      <c r="E36" s="669"/>
      <c r="F36" s="714"/>
      <c r="G36" s="716"/>
      <c r="H36" s="2854">
        <f>H37</f>
        <v>420.65</v>
      </c>
      <c r="I36" s="578">
        <f>I39</f>
        <v>0</v>
      </c>
      <c r="J36" s="579">
        <f>J39</f>
        <v>0</v>
      </c>
      <c r="N36" s="1"/>
    </row>
    <row r="37" spans="1:14" s="580" customFormat="1" ht="52" hidden="1" x14ac:dyDescent="0.35">
      <c r="A37" s="576"/>
      <c r="B37" s="2847" t="s">
        <v>156</v>
      </c>
      <c r="C37" s="715"/>
      <c r="D37" s="669"/>
      <c r="E37" s="669"/>
      <c r="F37" s="714"/>
      <c r="G37" s="716"/>
      <c r="H37" s="2854">
        <f>H38</f>
        <v>420.65</v>
      </c>
      <c r="I37" s="578"/>
      <c r="J37" s="579"/>
      <c r="N37" s="1"/>
    </row>
    <row r="38" spans="1:14" s="580" customFormat="1" ht="15.5" hidden="1" x14ac:dyDescent="0.35">
      <c r="A38" s="576"/>
      <c r="B38" s="724" t="s">
        <v>582</v>
      </c>
      <c r="C38" s="715"/>
      <c r="D38" s="669"/>
      <c r="E38" s="669"/>
      <c r="F38" s="714"/>
      <c r="G38" s="716"/>
      <c r="H38" s="2854">
        <f>H39</f>
        <v>420.65</v>
      </c>
      <c r="I38" s="578"/>
      <c r="J38" s="579"/>
      <c r="N38" s="1"/>
    </row>
    <row r="39" spans="1:14" s="580" customFormat="1" ht="54" customHeight="1" x14ac:dyDescent="0.35">
      <c r="A39" s="576"/>
      <c r="B39" s="3560" t="s">
        <v>586</v>
      </c>
      <c r="C39" s="3560"/>
      <c r="D39" s="3560"/>
      <c r="E39" s="3560"/>
      <c r="F39" s="3560"/>
      <c r="G39" s="3560"/>
      <c r="H39" s="2856">
        <v>420.65</v>
      </c>
      <c r="I39" s="583">
        <f>I40</f>
        <v>0</v>
      </c>
      <c r="J39" s="584">
        <f>J40</f>
        <v>0</v>
      </c>
      <c r="N39" s="1"/>
    </row>
    <row r="40" spans="1:14" s="580" customFormat="1" ht="13.9" hidden="1" customHeight="1" thickBot="1" x14ac:dyDescent="0.4">
      <c r="A40" s="576"/>
      <c r="B40" s="582" t="s">
        <v>123</v>
      </c>
      <c r="C40" s="717"/>
      <c r="D40" s="718" t="s">
        <v>69</v>
      </c>
      <c r="E40" s="718" t="s">
        <v>119</v>
      </c>
      <c r="F40" s="440" t="s">
        <v>129</v>
      </c>
      <c r="G40" s="717" t="s">
        <v>120</v>
      </c>
      <c r="H40" s="2857">
        <v>199.49199999999999</v>
      </c>
      <c r="I40" s="585">
        <v>0</v>
      </c>
      <c r="J40" s="586">
        <v>0</v>
      </c>
      <c r="N40" s="1"/>
    </row>
    <row r="41" spans="1:14" s="580" customFormat="1" ht="34" customHeight="1" x14ac:dyDescent="0.35">
      <c r="A41" s="2849"/>
      <c r="B41" s="3560" t="s">
        <v>1233</v>
      </c>
      <c r="C41" s="3560"/>
      <c r="D41" s="3560"/>
      <c r="E41" s="3560"/>
      <c r="F41" s="3560"/>
      <c r="G41" s="3560"/>
      <c r="H41" s="2856">
        <v>19.20834</v>
      </c>
      <c r="I41" s="2850"/>
      <c r="J41" s="2850"/>
      <c r="N41" s="1"/>
    </row>
    <row r="42" spans="1:14" ht="13" x14ac:dyDescent="0.3">
      <c r="B42" s="3561" t="s">
        <v>828</v>
      </c>
      <c r="C42" s="3561"/>
      <c r="D42" s="3561"/>
      <c r="E42" s="3561"/>
      <c r="F42" s="3561"/>
      <c r="G42" s="3561"/>
      <c r="H42" s="2858">
        <f>H27+H29+H32+H39+H41</f>
        <v>826.05034000000001</v>
      </c>
    </row>
    <row r="192" ht="80.5" customHeight="1" x14ac:dyDescent="0.25"/>
  </sheetData>
  <mergeCells count="15">
    <mergeCell ref="B39:G39"/>
    <mergeCell ref="B42:G42"/>
    <mergeCell ref="B41:G41"/>
    <mergeCell ref="A18:J18"/>
    <mergeCell ref="B19:J19"/>
    <mergeCell ref="B21:G21"/>
    <mergeCell ref="B27:G27"/>
    <mergeCell ref="B29:G29"/>
    <mergeCell ref="B32:G32"/>
    <mergeCell ref="A17:F17"/>
    <mergeCell ref="G6:J6"/>
    <mergeCell ref="F7:H7"/>
    <mergeCell ref="B8:J8"/>
    <mergeCell ref="D9:H9"/>
    <mergeCell ref="F10:H10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328" t="s">
        <v>991</v>
      </c>
      <c r="I5" s="3328"/>
      <c r="J5" s="3328"/>
      <c r="K5" s="3328"/>
      <c r="L5" s="3328"/>
      <c r="M5" s="3328"/>
      <c r="N5" s="3328"/>
      <c r="O5" s="3328"/>
      <c r="P5" s="3328"/>
      <c r="Q5" s="3328"/>
      <c r="R5" s="3328"/>
      <c r="S5" s="3328"/>
      <c r="T5" s="3328"/>
      <c r="U5" s="3328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5" t="s">
        <v>446</v>
      </c>
      <c r="I7" s="413"/>
      <c r="J7" s="415"/>
      <c r="K7" s="415"/>
      <c r="L7" s="415"/>
      <c r="M7" s="2145"/>
      <c r="N7" s="2145" t="s">
        <v>446</v>
      </c>
      <c r="O7" s="410"/>
      <c r="P7" s="410"/>
      <c r="Q7" s="410"/>
      <c r="R7" s="410"/>
      <c r="U7" s="2145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5" t="s">
        <v>848</v>
      </c>
      <c r="I9" s="413"/>
      <c r="J9" s="415"/>
      <c r="K9" s="415"/>
      <c r="L9" s="415"/>
      <c r="M9" s="2145"/>
      <c r="N9" s="2145" t="s">
        <v>848</v>
      </c>
      <c r="O9" s="410"/>
      <c r="P9" s="410"/>
      <c r="Q9" s="410"/>
      <c r="R9" s="410"/>
      <c r="U9" s="2145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496"/>
      <c r="C12" s="3496"/>
      <c r="D12" s="3496"/>
      <c r="E12" s="3496"/>
      <c r="F12" s="3496"/>
      <c r="G12" s="3496"/>
      <c r="H12" s="3496"/>
      <c r="I12" s="1830" t="e">
        <f>I10-I11-#REF!</f>
        <v>#REF!</v>
      </c>
      <c r="N12" s="237"/>
      <c r="U12" s="237"/>
    </row>
    <row r="13" spans="1:27" ht="15.65" customHeight="1" x14ac:dyDescent="0.25">
      <c r="A13" s="3497" t="s">
        <v>614</v>
      </c>
      <c r="B13" s="3497"/>
      <c r="C13" s="3497"/>
      <c r="D13" s="3497"/>
      <c r="E13" s="3497"/>
      <c r="F13" s="3497"/>
      <c r="G13" s="3497"/>
      <c r="H13" s="3497"/>
      <c r="I13" s="3497"/>
      <c r="J13" s="3497"/>
      <c r="K13" s="3497"/>
      <c r="L13" s="3497"/>
      <c r="M13" s="3497"/>
      <c r="N13" s="3497"/>
      <c r="O13" s="3497"/>
      <c r="P13" s="3497"/>
      <c r="Q13" s="3497"/>
      <c r="R13" s="3497"/>
      <c r="S13" s="3497"/>
      <c r="T13" s="3497"/>
      <c r="U13" s="3497"/>
      <c r="AA13" s="1831"/>
    </row>
    <row r="14" spans="1:27" ht="15.65" customHeight="1" x14ac:dyDescent="0.25">
      <c r="A14" s="3497" t="s">
        <v>613</v>
      </c>
      <c r="B14" s="3497"/>
      <c r="C14" s="3497"/>
      <c r="D14" s="3497"/>
      <c r="E14" s="3497"/>
      <c r="F14" s="3497"/>
      <c r="G14" s="3497"/>
      <c r="H14" s="3497"/>
      <c r="I14" s="3497"/>
      <c r="J14" s="3497"/>
      <c r="K14" s="3497"/>
      <c r="L14" s="3497"/>
      <c r="M14" s="3497"/>
      <c r="N14" s="3497"/>
      <c r="O14" s="3497"/>
      <c r="P14" s="3497"/>
      <c r="Q14" s="3497"/>
      <c r="R14" s="3497"/>
      <c r="S14" s="3497"/>
      <c r="T14" s="3497"/>
      <c r="U14" s="3497"/>
      <c r="AA14" s="1832"/>
    </row>
    <row r="15" spans="1:27" ht="15" customHeight="1" x14ac:dyDescent="0.25">
      <c r="A15" s="3497" t="s">
        <v>995</v>
      </c>
      <c r="B15" s="3497"/>
      <c r="C15" s="3497"/>
      <c r="D15" s="3497"/>
      <c r="E15" s="3497"/>
      <c r="F15" s="3497"/>
      <c r="G15" s="3497"/>
      <c r="H15" s="3497"/>
      <c r="I15" s="3497"/>
      <c r="J15" s="3497"/>
      <c r="K15" s="3497"/>
      <c r="L15" s="3497"/>
      <c r="M15" s="3497"/>
      <c r="N15" s="3497"/>
      <c r="O15" s="3497"/>
      <c r="P15" s="3497"/>
      <c r="Q15" s="3497"/>
      <c r="R15" s="3497"/>
      <c r="S15" s="3497"/>
      <c r="T15" s="3497"/>
      <c r="U15" s="3497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57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54" t="s">
        <v>534</v>
      </c>
      <c r="E454" s="2154" t="s">
        <v>488</v>
      </c>
      <c r="F454" s="2154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58"/>
      <c r="H455" s="2166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66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59"/>
      <c r="H456" s="2167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67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59"/>
      <c r="H457" s="2167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67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60" t="s">
        <v>1</v>
      </c>
      <c r="H458" s="2168"/>
      <c r="I458" s="2164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68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61"/>
      <c r="H459" s="2169"/>
      <c r="I459" s="2165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69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62"/>
      <c r="H460" s="2170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70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58"/>
      <c r="H461" s="2166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66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63"/>
      <c r="H462" s="2171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71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63"/>
      <c r="H463" s="2171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71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59"/>
      <c r="H464" s="2167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67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59"/>
      <c r="H465" s="2167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67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59"/>
      <c r="H466" s="2167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67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59" t="s">
        <v>255</v>
      </c>
      <c r="H467" s="2167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67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59" t="s">
        <v>1</v>
      </c>
      <c r="H468" s="2167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67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59" t="s">
        <v>91</v>
      </c>
      <c r="H469" s="2167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67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63"/>
      <c r="H475" s="2171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71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63"/>
      <c r="H476" s="2171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71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59"/>
      <c r="H477" s="2167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67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59"/>
      <c r="H478" s="2167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67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59"/>
      <c r="H479" s="2167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67">
        <f t="shared" si="119"/>
        <v>1650.46</v>
      </c>
    </row>
    <row r="480" spans="1:21" ht="20.5" hidden="1" thickBot="1" x14ac:dyDescent="0.3">
      <c r="A480" s="2155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60" t="s">
        <v>1</v>
      </c>
      <c r="H480" s="2168">
        <v>1650.46</v>
      </c>
      <c r="I480" s="2164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68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56"/>
      <c r="L481" s="2156"/>
      <c r="M481" s="2156"/>
      <c r="N481" s="1170">
        <f>N482+N582+N608+N657+N750+N760++N783+N801+N574+N826</f>
        <v>3847.741</v>
      </c>
      <c r="O481" s="2156"/>
      <c r="P481" s="2156"/>
      <c r="Q481" s="2156"/>
      <c r="R481" s="2156"/>
      <c r="S481" s="2156"/>
      <c r="T481" s="2156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3569" t="s">
        <v>946</v>
      </c>
      <c r="I1" s="3569"/>
      <c r="J1" s="3569"/>
    </row>
    <row r="2" spans="1:25" x14ac:dyDescent="0.25">
      <c r="H2" s="3569" t="s">
        <v>450</v>
      </c>
      <c r="I2" s="3569"/>
      <c r="J2" s="3569"/>
    </row>
    <row r="3" spans="1:25" x14ac:dyDescent="0.25">
      <c r="H3" s="3569" t="s">
        <v>449</v>
      </c>
      <c r="I3" s="3569"/>
      <c r="J3" s="3569"/>
    </row>
    <row r="4" spans="1:25" x14ac:dyDescent="0.25">
      <c r="H4" s="3569" t="s">
        <v>448</v>
      </c>
      <c r="I4" s="3569"/>
      <c r="J4" s="3569"/>
    </row>
    <row r="5" spans="1:25" x14ac:dyDescent="0.25">
      <c r="H5" s="3569" t="s">
        <v>1129</v>
      </c>
      <c r="I5" s="3569"/>
      <c r="J5" s="3569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3001" t="s">
        <v>1103</v>
      </c>
      <c r="I11" s="3001"/>
      <c r="J11" s="3001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567" t="s">
        <v>983</v>
      </c>
      <c r="C14" s="3567"/>
      <c r="D14" s="3567"/>
      <c r="E14" s="3567"/>
      <c r="F14" s="3567"/>
      <c r="G14" s="3567"/>
      <c r="H14" s="3567"/>
      <c r="I14" s="3567"/>
      <c r="J14" s="3567"/>
    </row>
    <row r="15" spans="1:25" ht="20.149999999999999" customHeight="1" x14ac:dyDescent="0.35">
      <c r="A15" s="3568" t="s">
        <v>869</v>
      </c>
      <c r="B15" s="3568"/>
      <c r="C15" s="3568"/>
      <c r="D15" s="3568"/>
      <c r="E15" s="3568"/>
      <c r="F15" s="3568"/>
      <c r="G15" s="3568"/>
      <c r="H15" s="3568"/>
      <c r="I15" s="3568"/>
      <c r="J15" s="3568"/>
      <c r="K15" s="1773"/>
    </row>
    <row r="16" spans="1:25" ht="15.75" customHeight="1" x14ac:dyDescent="0.35">
      <c r="A16" s="2998" t="s">
        <v>992</v>
      </c>
      <c r="B16" s="2998"/>
      <c r="C16" s="2998"/>
      <c r="D16" s="2998"/>
      <c r="E16" s="2998"/>
      <c r="F16" s="2998"/>
      <c r="G16" s="2998"/>
      <c r="H16" s="2998"/>
      <c r="I16" s="2998"/>
      <c r="J16" s="299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5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5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5">
      <c r="B24" s="2211"/>
      <c r="C24" s="2212"/>
      <c r="D24" s="1764" t="s">
        <v>452</v>
      </c>
      <c r="E24" s="1764" t="s">
        <v>539</v>
      </c>
      <c r="F24" s="1764" t="s">
        <v>205</v>
      </c>
      <c r="G24" s="1798" t="s">
        <v>1</v>
      </c>
      <c r="H24" s="2213"/>
      <c r="I24" s="2213"/>
      <c r="J24" s="2214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559" t="s">
        <v>978</v>
      </c>
      <c r="H1" s="3559"/>
      <c r="I1" s="3559"/>
      <c r="J1" s="3559"/>
    </row>
    <row r="2" spans="1:15" ht="15.5" x14ac:dyDescent="0.35">
      <c r="A2" s="554"/>
      <c r="B2" s="554"/>
      <c r="C2" s="554"/>
      <c r="D2" s="554"/>
      <c r="E2" s="554"/>
      <c r="F2" s="3559" t="s">
        <v>797</v>
      </c>
      <c r="G2" s="3559"/>
      <c r="H2" s="3559"/>
      <c r="I2" s="554"/>
      <c r="J2" s="554"/>
    </row>
    <row r="3" spans="1:15" ht="15.5" x14ac:dyDescent="0.35">
      <c r="A3" s="554"/>
      <c r="B3" s="3559" t="s">
        <v>449</v>
      </c>
      <c r="C3" s="3559"/>
      <c r="D3" s="3559"/>
      <c r="E3" s="3559"/>
      <c r="F3" s="3559"/>
      <c r="G3" s="3559"/>
      <c r="H3" s="3559"/>
      <c r="I3" s="3559"/>
      <c r="J3" s="3559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559" t="s">
        <v>798</v>
      </c>
      <c r="E4" s="3559"/>
      <c r="F4" s="3559"/>
      <c r="G4" s="3559"/>
      <c r="H4" s="3559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001" t="s">
        <v>1103</v>
      </c>
      <c r="G5" s="3001"/>
      <c r="H5" s="3001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558"/>
      <c r="B12" s="3558"/>
      <c r="C12" s="3558"/>
      <c r="D12" s="3558"/>
      <c r="E12" s="3558"/>
      <c r="F12" s="3558"/>
    </row>
    <row r="13" spans="1:15" ht="69.75" customHeight="1" x14ac:dyDescent="0.3">
      <c r="A13" s="3562" t="s">
        <v>823</v>
      </c>
      <c r="B13" s="3562"/>
      <c r="C13" s="3562"/>
      <c r="D13" s="3562"/>
      <c r="E13" s="3562"/>
      <c r="F13" s="3562"/>
      <c r="G13" s="3562"/>
      <c r="H13" s="3562"/>
      <c r="I13" s="3562"/>
      <c r="J13" s="3562"/>
      <c r="L13" s="559" t="s">
        <v>106</v>
      </c>
    </row>
    <row r="14" spans="1:15" ht="15" customHeight="1" x14ac:dyDescent="0.3">
      <c r="A14" s="923"/>
      <c r="B14" s="3562" t="s">
        <v>998</v>
      </c>
      <c r="C14" s="3562"/>
      <c r="D14" s="3562"/>
      <c r="E14" s="3562"/>
      <c r="F14" s="3562"/>
      <c r="G14" s="3562"/>
      <c r="H14" s="3562"/>
      <c r="I14" s="3562"/>
      <c r="J14" s="3562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563" t="s">
        <v>322</v>
      </c>
      <c r="C16" s="3563"/>
      <c r="D16" s="3563"/>
      <c r="E16" s="3563"/>
      <c r="F16" s="3563"/>
      <c r="G16" s="3563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3564" t="s">
        <v>824</v>
      </c>
      <c r="C22" s="3564"/>
      <c r="D22" s="3564"/>
      <c r="E22" s="3564"/>
      <c r="F22" s="3564"/>
      <c r="G22" s="3564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565" t="s">
        <v>826</v>
      </c>
      <c r="C24" s="3565"/>
      <c r="D24" s="3565"/>
      <c r="E24" s="3565"/>
      <c r="F24" s="3565"/>
      <c r="G24" s="3565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566" t="s">
        <v>825</v>
      </c>
      <c r="C27" s="3566"/>
      <c r="D27" s="3566"/>
      <c r="E27" s="3566"/>
      <c r="F27" s="3566"/>
      <c r="G27" s="3566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3560" t="s">
        <v>586</v>
      </c>
      <c r="C34" s="3560"/>
      <c r="D34" s="3560"/>
      <c r="E34" s="3560"/>
      <c r="F34" s="3560"/>
      <c r="G34" s="3560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561" t="s">
        <v>828</v>
      </c>
      <c r="C36" s="3561"/>
      <c r="D36" s="3561"/>
      <c r="E36" s="3561"/>
      <c r="F36" s="3561"/>
      <c r="G36" s="3561"/>
      <c r="H36" s="924">
        <f>H22+H24+H27+H34</f>
        <v>795.02300000000002</v>
      </c>
    </row>
    <row r="186" ht="80.5" customHeight="1" x14ac:dyDescent="0.25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3572" t="s">
        <v>821</v>
      </c>
      <c r="C1" s="3572"/>
      <c r="D1" s="3572"/>
    </row>
    <row r="2" spans="1:4" x14ac:dyDescent="0.35">
      <c r="B2" s="3572" t="s">
        <v>801</v>
      </c>
      <c r="C2" s="3572"/>
      <c r="D2" s="3572"/>
    </row>
    <row r="3" spans="1:4" x14ac:dyDescent="0.35">
      <c r="B3" s="3572" t="s">
        <v>449</v>
      </c>
      <c r="C3" s="3572"/>
      <c r="D3" s="3572"/>
    </row>
    <row r="4" spans="1:4" x14ac:dyDescent="0.35">
      <c r="B4" s="3572" t="s">
        <v>802</v>
      </c>
      <c r="C4" s="3572"/>
      <c r="D4" s="3572"/>
    </row>
    <row r="5" spans="1:4" x14ac:dyDescent="0.35">
      <c r="B5" s="3573" t="s">
        <v>846</v>
      </c>
      <c r="C5" s="3573"/>
      <c r="D5" s="3573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3574"/>
      <c r="C12" s="3574"/>
    </row>
    <row r="13" spans="1:4" x14ac:dyDescent="0.35">
      <c r="A13" s="3575" t="s">
        <v>803</v>
      </c>
      <c r="B13" s="3575"/>
      <c r="C13" s="3575"/>
    </row>
    <row r="14" spans="1:4" ht="16.5" customHeight="1" x14ac:dyDescent="0.35">
      <c r="A14" s="3575" t="s">
        <v>804</v>
      </c>
      <c r="B14" s="3575"/>
      <c r="C14" s="3575"/>
      <c r="D14" s="590"/>
    </row>
    <row r="15" spans="1:4" ht="16.5" customHeight="1" x14ac:dyDescent="0.35">
      <c r="A15" s="3575" t="s">
        <v>847</v>
      </c>
      <c r="B15" s="3575"/>
      <c r="C15" s="3575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3576" t="s">
        <v>805</v>
      </c>
      <c r="B17" s="3577"/>
      <c r="C17" s="594" t="s">
        <v>806</v>
      </c>
    </row>
    <row r="18" spans="1:3" s="595" customFormat="1" ht="13.5" customHeight="1" x14ac:dyDescent="0.25">
      <c r="A18" s="3578" t="s">
        <v>807</v>
      </c>
      <c r="B18" s="3579"/>
      <c r="C18" s="596">
        <v>0.1</v>
      </c>
    </row>
    <row r="19" spans="1:3" s="595" customFormat="1" ht="20.25" customHeight="1" x14ac:dyDescent="0.25">
      <c r="A19" s="3570" t="s">
        <v>660</v>
      </c>
      <c r="B19" s="3571"/>
      <c r="C19" s="597">
        <v>1</v>
      </c>
    </row>
    <row r="20" spans="1:3" s="595" customFormat="1" ht="18" customHeight="1" x14ac:dyDescent="0.25">
      <c r="A20" s="3582" t="s">
        <v>664</v>
      </c>
      <c r="B20" s="3583"/>
      <c r="C20" s="598">
        <v>1</v>
      </c>
    </row>
    <row r="21" spans="1:3" s="595" customFormat="1" ht="17.25" hidden="1" customHeight="1" x14ac:dyDescent="0.25">
      <c r="A21" s="3584" t="s">
        <v>662</v>
      </c>
      <c r="B21" s="3585"/>
      <c r="C21" s="599">
        <v>0.5</v>
      </c>
    </row>
    <row r="22" spans="1:3" s="595" customFormat="1" ht="18.75" hidden="1" customHeight="1" x14ac:dyDescent="0.25">
      <c r="A22" s="3582" t="s">
        <v>808</v>
      </c>
      <c r="B22" s="3583"/>
      <c r="C22" s="598">
        <v>0.5</v>
      </c>
    </row>
    <row r="23" spans="1:3" s="595" customFormat="1" ht="17.25" hidden="1" customHeight="1" x14ac:dyDescent="0.25">
      <c r="A23" s="3582" t="s">
        <v>809</v>
      </c>
      <c r="B23" s="3583"/>
      <c r="C23" s="598">
        <v>0.5</v>
      </c>
    </row>
    <row r="24" spans="1:3" s="595" customFormat="1" ht="15.75" customHeight="1" x14ac:dyDescent="0.25">
      <c r="A24" s="3582" t="s">
        <v>810</v>
      </c>
      <c r="B24" s="3583"/>
      <c r="C24" s="600">
        <v>1</v>
      </c>
    </row>
    <row r="25" spans="1:3" s="595" customFormat="1" ht="15.75" customHeight="1" x14ac:dyDescent="0.25">
      <c r="A25" s="3582" t="s">
        <v>811</v>
      </c>
      <c r="B25" s="3583"/>
      <c r="C25" s="600">
        <v>1</v>
      </c>
    </row>
    <row r="26" spans="1:3" s="595" customFormat="1" ht="20.25" customHeight="1" thickBot="1" x14ac:dyDescent="0.3">
      <c r="A26" s="3580" t="s">
        <v>812</v>
      </c>
      <c r="B26" s="3581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3603" t="s">
        <v>616</v>
      </c>
      <c r="C17" s="3603"/>
      <c r="D17" s="3603"/>
      <c r="E17" s="3603"/>
      <c r="F17" s="3603"/>
      <c r="G17" s="3603"/>
      <c r="H17" s="3603"/>
      <c r="I17" s="3603"/>
      <c r="J17" s="3603"/>
      <c r="K17" s="3603"/>
      <c r="L17" s="3603"/>
      <c r="M17" s="3603"/>
      <c r="N17" s="607"/>
      <c r="O17" s="607"/>
      <c r="P17" s="607"/>
      <c r="Q17" s="607"/>
    </row>
    <row r="18" spans="1:17" ht="15.5" x14ac:dyDescent="0.35">
      <c r="B18" s="3603" t="s">
        <v>450</v>
      </c>
      <c r="C18" s="3603"/>
      <c r="D18" s="3603"/>
      <c r="E18" s="3603"/>
      <c r="F18" s="3603"/>
      <c r="G18" s="3603"/>
      <c r="H18" s="3603"/>
      <c r="I18" s="3603"/>
      <c r="J18" s="3603"/>
      <c r="K18" s="3603"/>
      <c r="L18" s="3603"/>
      <c r="M18" s="3603"/>
      <c r="O18" s="607"/>
      <c r="P18" s="607"/>
      <c r="Q18" s="607"/>
    </row>
    <row r="19" spans="1:17" ht="15.5" x14ac:dyDescent="0.35">
      <c r="B19" s="3603" t="s">
        <v>449</v>
      </c>
      <c r="C19" s="3603"/>
      <c r="D19" s="3603"/>
      <c r="E19" s="3603"/>
      <c r="F19" s="3603"/>
      <c r="G19" s="3603"/>
      <c r="H19" s="3603"/>
      <c r="I19" s="3603"/>
      <c r="J19" s="3603"/>
      <c r="K19" s="3603"/>
      <c r="L19" s="3603"/>
      <c r="M19" s="3603"/>
      <c r="N19" s="607"/>
      <c r="O19" s="607"/>
      <c r="P19" s="607"/>
      <c r="Q19" s="607"/>
    </row>
    <row r="20" spans="1:17" ht="15.5" x14ac:dyDescent="0.35">
      <c r="B20" s="3603" t="s">
        <v>448</v>
      </c>
      <c r="C20" s="3603"/>
      <c r="D20" s="3603"/>
      <c r="E20" s="3603"/>
      <c r="F20" s="3603"/>
      <c r="G20" s="3603"/>
      <c r="H20" s="3603"/>
      <c r="I20" s="3603"/>
      <c r="J20" s="3603"/>
      <c r="K20" s="3603"/>
      <c r="L20" s="3603"/>
      <c r="M20" s="3603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3001" t="s">
        <v>991</v>
      </c>
      <c r="I21" s="3001"/>
      <c r="J21" s="3001"/>
      <c r="K21" s="3001"/>
      <c r="L21" s="3001"/>
      <c r="M21" s="3001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3258" t="s">
        <v>446</v>
      </c>
      <c r="C23" s="3258"/>
      <c r="D23" s="3258"/>
      <c r="E23" s="3258"/>
      <c r="F23" s="3258"/>
      <c r="G23" s="3258"/>
      <c r="H23" s="3258"/>
      <c r="I23" s="3258"/>
      <c r="J23" s="3258"/>
      <c r="K23" s="3258"/>
      <c r="L23" s="3258"/>
      <c r="M23" s="3258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3258" t="s">
        <v>848</v>
      </c>
      <c r="C25" s="3258"/>
      <c r="D25" s="3258"/>
      <c r="E25" s="3258"/>
      <c r="F25" s="3258"/>
      <c r="G25" s="3258"/>
      <c r="H25" s="3258"/>
      <c r="I25" s="3258"/>
      <c r="J25" s="3258"/>
      <c r="K25" s="3258"/>
      <c r="L25" s="3258"/>
      <c r="M25" s="3258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3593"/>
      <c r="C28" s="3593"/>
      <c r="D28" s="3593"/>
      <c r="E28" s="3593"/>
      <c r="F28" s="3593"/>
      <c r="G28" s="3593"/>
      <c r="H28" s="3593"/>
      <c r="I28" s="3593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192" t="s">
        <v>868</v>
      </c>
      <c r="B31" s="2192"/>
      <c r="C31" s="2192"/>
      <c r="D31" s="2192"/>
      <c r="E31" s="2192"/>
      <c r="F31" s="2192"/>
      <c r="G31" s="2192"/>
      <c r="H31" s="2192"/>
      <c r="I31" s="2192"/>
      <c r="J31" s="2192"/>
      <c r="N31" s="608" t="s">
        <v>106</v>
      </c>
    </row>
    <row r="32" spans="1:17" ht="15" x14ac:dyDescent="0.3">
      <c r="A32" s="2192" t="s">
        <v>869</v>
      </c>
      <c r="B32" s="2192"/>
      <c r="C32" s="2192"/>
      <c r="D32" s="2192"/>
      <c r="E32" s="2192"/>
      <c r="F32" s="2192"/>
      <c r="G32" s="2192"/>
      <c r="H32" s="2192"/>
      <c r="I32" s="2192"/>
      <c r="J32" s="2192"/>
    </row>
    <row r="33" spans="1:10" ht="15" x14ac:dyDescent="0.3">
      <c r="A33" s="2192" t="s">
        <v>1089</v>
      </c>
      <c r="B33" s="2192"/>
      <c r="C33" s="2192"/>
      <c r="D33" s="2192"/>
      <c r="E33" s="2192"/>
      <c r="F33" s="2192"/>
      <c r="G33" s="2192"/>
      <c r="H33" s="2192"/>
      <c r="I33" s="2192"/>
      <c r="J33" s="2192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52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13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52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52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491" t="s">
        <v>20</v>
      </c>
      <c r="H143" s="3492"/>
      <c r="I143" s="3492"/>
      <c r="J143" s="3493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485" t="s">
        <v>17</v>
      </c>
      <c r="H144" s="3486"/>
      <c r="I144" s="3486"/>
      <c r="J144" s="3487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52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3594" t="s">
        <v>437</v>
      </c>
      <c r="J203" s="3594"/>
      <c r="K203" s="3594"/>
      <c r="L203" s="3594"/>
      <c r="M203" s="3594"/>
    </row>
    <row r="204" spans="1:13" ht="31.5" x14ac:dyDescent="0.3">
      <c r="A204" s="3591" t="s">
        <v>818</v>
      </c>
      <c r="B204" s="3592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3586" t="s">
        <v>884</v>
      </c>
      <c r="B205" s="3587"/>
      <c r="C205" s="3587"/>
      <c r="D205" s="3587"/>
      <c r="E205" s="3587"/>
      <c r="F205" s="3587"/>
      <c r="G205" s="3587"/>
      <c r="H205" s="3587"/>
      <c r="I205" s="3587"/>
      <c r="J205" s="3587"/>
      <c r="K205" s="3587"/>
      <c r="L205" s="3587"/>
      <c r="M205" s="3588"/>
    </row>
    <row r="206" spans="1:13" ht="27" customHeight="1" x14ac:dyDescent="0.3">
      <c r="A206" s="3610" t="s">
        <v>875</v>
      </c>
      <c r="B206" s="3611"/>
      <c r="C206" s="952"/>
      <c r="D206" s="952"/>
      <c r="E206" s="952"/>
      <c r="F206" s="3614" t="s">
        <v>876</v>
      </c>
      <c r="G206" s="3599" t="s">
        <v>877</v>
      </c>
      <c r="H206" s="3621">
        <v>2019</v>
      </c>
      <c r="I206" s="3595" t="s">
        <v>879</v>
      </c>
      <c r="J206" s="953"/>
      <c r="K206" s="963"/>
      <c r="L206" s="963"/>
      <c r="M206" s="3597">
        <v>500</v>
      </c>
    </row>
    <row r="207" spans="1:13" ht="27" customHeight="1" x14ac:dyDescent="0.3">
      <c r="A207" s="3612"/>
      <c r="B207" s="3613"/>
      <c r="C207" s="954"/>
      <c r="D207" s="954"/>
      <c r="E207" s="954"/>
      <c r="F207" s="3615"/>
      <c r="G207" s="3600"/>
      <c r="H207" s="3622"/>
      <c r="I207" s="3596"/>
      <c r="J207" s="957">
        <v>500</v>
      </c>
      <c r="K207" s="963"/>
      <c r="L207" s="963"/>
      <c r="M207" s="3598"/>
    </row>
    <row r="208" spans="1:13" ht="13" x14ac:dyDescent="0.3">
      <c r="A208" s="3610" t="s">
        <v>885</v>
      </c>
      <c r="B208" s="3611"/>
      <c r="C208" s="952"/>
      <c r="D208" s="952"/>
      <c r="E208" s="952"/>
      <c r="F208" s="3614" t="s">
        <v>886</v>
      </c>
      <c r="G208" s="3599" t="s">
        <v>877</v>
      </c>
      <c r="H208" s="3599">
        <v>2019</v>
      </c>
      <c r="I208" s="3599" t="s">
        <v>878</v>
      </c>
      <c r="J208" s="1443">
        <v>1700</v>
      </c>
      <c r="K208" s="1444"/>
      <c r="L208" s="1444"/>
      <c r="M208" s="3601">
        <v>3000.703</v>
      </c>
    </row>
    <row r="209" spans="1:13" ht="40.5" customHeight="1" x14ac:dyDescent="0.25">
      <c r="A209" s="3612"/>
      <c r="B209" s="3613"/>
      <c r="C209" s="954"/>
      <c r="D209" s="954"/>
      <c r="E209" s="954"/>
      <c r="F209" s="3615"/>
      <c r="G209" s="3600"/>
      <c r="H209" s="3600"/>
      <c r="I209" s="3600"/>
      <c r="J209" s="957"/>
      <c r="K209" s="1444"/>
      <c r="L209" s="1444"/>
      <c r="M209" s="3602"/>
    </row>
    <row r="210" spans="1:13" ht="37.5" hidden="1" customHeight="1" x14ac:dyDescent="0.25">
      <c r="A210" s="3618" t="s">
        <v>963</v>
      </c>
      <c r="B210" s="3619"/>
      <c r="C210" s="3619"/>
      <c r="D210" s="3619"/>
      <c r="E210" s="3619"/>
      <c r="F210" s="3619"/>
      <c r="G210" s="3619"/>
      <c r="H210" s="3619"/>
      <c r="I210" s="3619"/>
      <c r="J210" s="3619"/>
      <c r="K210" s="3619"/>
      <c r="L210" s="3619"/>
      <c r="M210" s="3620"/>
    </row>
    <row r="211" spans="1:13" ht="40.5" hidden="1" customHeight="1" x14ac:dyDescent="0.25">
      <c r="A211" s="3589" t="s">
        <v>961</v>
      </c>
      <c r="B211" s="3590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3604" t="s">
        <v>820</v>
      </c>
      <c r="B212" s="3605"/>
      <c r="C212" s="3605"/>
      <c r="D212" s="3605"/>
      <c r="E212" s="3605"/>
      <c r="F212" s="3605"/>
      <c r="G212" s="3605"/>
      <c r="H212" s="3605"/>
      <c r="I212" s="3606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3607" t="s">
        <v>25</v>
      </c>
      <c r="B213" s="3608"/>
      <c r="C213" s="3608"/>
      <c r="D213" s="3608"/>
      <c r="E213" s="3608"/>
      <c r="F213" s="3608"/>
      <c r="G213" s="3608"/>
      <c r="H213" s="3608"/>
      <c r="I213" s="3608"/>
      <c r="J213" s="3608"/>
      <c r="K213" s="3608"/>
      <c r="L213" s="3608"/>
      <c r="M213" s="3609"/>
    </row>
    <row r="214" spans="1:13" ht="39" hidden="1" x14ac:dyDescent="0.3">
      <c r="A214" s="3610" t="s">
        <v>880</v>
      </c>
      <c r="B214" s="3611"/>
      <c r="C214" s="959"/>
      <c r="D214" s="959"/>
      <c r="E214" s="959"/>
      <c r="F214" s="3616" t="s">
        <v>881</v>
      </c>
      <c r="G214" s="3616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3612"/>
      <c r="B215" s="3613"/>
      <c r="C215" s="954"/>
      <c r="D215" s="954"/>
      <c r="E215" s="954"/>
      <c r="F215" s="3617"/>
      <c r="G215" s="3617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3586" t="s">
        <v>906</v>
      </c>
      <c r="B216" s="3587"/>
      <c r="C216" s="3587"/>
      <c r="D216" s="3587"/>
      <c r="E216" s="3587"/>
      <c r="F216" s="3587"/>
      <c r="G216" s="3587"/>
      <c r="H216" s="3587"/>
      <c r="I216" s="3587"/>
      <c r="J216" s="3587"/>
      <c r="K216" s="3587"/>
      <c r="L216" s="3587"/>
      <c r="M216" s="3588"/>
    </row>
    <row r="217" spans="1:13" ht="50.5" customHeight="1" x14ac:dyDescent="0.3">
      <c r="A217" s="3589" t="s">
        <v>1071</v>
      </c>
      <c r="B217" s="3590"/>
      <c r="C217" s="954"/>
      <c r="D217" s="954"/>
      <c r="E217" s="954"/>
      <c r="F217" s="2172"/>
      <c r="G217" s="2172"/>
      <c r="H217" s="955"/>
      <c r="I217" s="956" t="s">
        <v>878</v>
      </c>
      <c r="J217" s="962"/>
      <c r="K217" s="1448"/>
      <c r="L217" s="1448"/>
      <c r="M217" s="2173">
        <v>1000</v>
      </c>
    </row>
    <row r="218" spans="1:13" ht="14" x14ac:dyDescent="0.3">
      <c r="A218" s="3604" t="s">
        <v>820</v>
      </c>
      <c r="B218" s="3605"/>
      <c r="C218" s="3605"/>
      <c r="D218" s="3605"/>
      <c r="E218" s="3605"/>
      <c r="F218" s="3605"/>
      <c r="G218" s="3605"/>
      <c r="H218" s="3605"/>
      <c r="I218" s="3606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175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3569" t="s">
        <v>822</v>
      </c>
      <c r="F1" s="3569"/>
      <c r="G1" s="3569"/>
    </row>
    <row r="2" spans="1:18" x14ac:dyDescent="0.3">
      <c r="E2" s="3569" t="s">
        <v>450</v>
      </c>
      <c r="F2" s="3569"/>
      <c r="G2" s="3569"/>
    </row>
    <row r="3" spans="1:18" x14ac:dyDescent="0.3">
      <c r="E3" s="3569" t="s">
        <v>449</v>
      </c>
      <c r="F3" s="3569"/>
      <c r="G3" s="3569"/>
    </row>
    <row r="4" spans="1:18" x14ac:dyDescent="0.3">
      <c r="E4" s="3569" t="s">
        <v>448</v>
      </c>
      <c r="F4" s="3569"/>
      <c r="G4" s="3569"/>
    </row>
    <row r="5" spans="1:18" x14ac:dyDescent="0.3">
      <c r="E5" s="3569" t="s">
        <v>1130</v>
      </c>
      <c r="F5" s="3569"/>
      <c r="G5" s="3569"/>
    </row>
    <row r="7" spans="1:18" ht="15.5" x14ac:dyDescent="0.35">
      <c r="F7" s="3603" t="s">
        <v>616</v>
      </c>
      <c r="G7" s="3603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</row>
    <row r="8" spans="1:18" ht="15.5" x14ac:dyDescent="0.35">
      <c r="E8" s="2174"/>
      <c r="F8" s="2174"/>
      <c r="G8" s="2146" t="s">
        <v>450</v>
      </c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</row>
    <row r="9" spans="1:18" ht="15.5" x14ac:dyDescent="0.35">
      <c r="E9" s="2174"/>
      <c r="F9" s="2174"/>
      <c r="G9" s="2146" t="s">
        <v>449</v>
      </c>
      <c r="H9" s="2190"/>
      <c r="I9" s="2190"/>
      <c r="J9" s="2190"/>
      <c r="K9" s="2190"/>
      <c r="L9" s="2190"/>
      <c r="M9" s="2190"/>
      <c r="N9" s="2190"/>
      <c r="O9" s="2190"/>
      <c r="P9" s="2190"/>
      <c r="Q9" s="2190"/>
      <c r="R9" s="2190"/>
    </row>
    <row r="10" spans="1:18" ht="15.5" x14ac:dyDescent="0.35">
      <c r="E10" s="2174"/>
      <c r="F10" s="2174"/>
      <c r="G10" s="2146" t="s">
        <v>448</v>
      </c>
      <c r="H10" s="2190"/>
      <c r="I10" s="2190"/>
      <c r="J10" s="2190"/>
      <c r="K10" s="2190"/>
      <c r="L10" s="2190"/>
      <c r="M10" s="2190"/>
      <c r="N10" s="2190"/>
      <c r="O10" s="2190"/>
      <c r="P10" s="2190"/>
      <c r="Q10" s="2190"/>
      <c r="R10" s="2190"/>
    </row>
    <row r="11" spans="1:18" ht="15.5" x14ac:dyDescent="0.3">
      <c r="E11" s="2174"/>
      <c r="F11" s="2174"/>
      <c r="G11" s="2144" t="s">
        <v>1103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174"/>
      <c r="F12" s="2174"/>
      <c r="G12" s="2144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3665" t="s">
        <v>868</v>
      </c>
      <c r="B13" s="3665"/>
      <c r="C13" s="3665"/>
      <c r="D13" s="3665"/>
      <c r="E13" s="3665"/>
      <c r="F13" s="3665"/>
      <c r="G13" s="3665"/>
      <c r="H13" s="2192"/>
      <c r="I13" s="2192"/>
      <c r="J13" s="2192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3665" t="s">
        <v>869</v>
      </c>
      <c r="B14" s="3665"/>
      <c r="C14" s="3665"/>
      <c r="D14" s="3665"/>
      <c r="E14" s="3665"/>
      <c r="F14" s="3665"/>
      <c r="G14" s="3665"/>
      <c r="H14" s="2192"/>
      <c r="I14" s="2192"/>
      <c r="J14" s="2192"/>
    </row>
    <row r="15" spans="1:18" ht="15" x14ac:dyDescent="0.3">
      <c r="A15" s="3665" t="s">
        <v>1089</v>
      </c>
      <c r="B15" s="3665"/>
      <c r="C15" s="3665"/>
      <c r="D15" s="3665"/>
      <c r="E15" s="3665"/>
      <c r="F15" s="3665"/>
      <c r="G15" s="3665"/>
      <c r="H15" s="2192"/>
      <c r="I15" s="2192"/>
      <c r="J15" s="2192"/>
    </row>
    <row r="16" spans="1:18" s="2176" customFormat="1" ht="44.5" customHeight="1" x14ac:dyDescent="0.35">
      <c r="A16" s="2191"/>
      <c r="B16" s="2191"/>
      <c r="C16" s="2191"/>
      <c r="D16" s="2191"/>
      <c r="E16" s="2191"/>
      <c r="F16" s="2191"/>
    </row>
    <row r="17" spans="1:10" s="2176" customFormat="1" ht="16" thickBot="1" x14ac:dyDescent="0.4">
      <c r="A17" s="3575"/>
      <c r="B17" s="3575"/>
      <c r="C17" s="3575"/>
      <c r="D17" s="3575"/>
      <c r="E17" s="3575"/>
      <c r="F17" s="3575"/>
      <c r="G17" s="2210" t="s">
        <v>1092</v>
      </c>
    </row>
    <row r="18" spans="1:10" ht="29.25" customHeight="1" x14ac:dyDescent="0.3">
      <c r="A18" s="3623" t="s">
        <v>1073</v>
      </c>
      <c r="B18" s="3625" t="s">
        <v>1074</v>
      </c>
      <c r="C18" s="3625" t="s">
        <v>1075</v>
      </c>
      <c r="D18" s="3625" t="s">
        <v>1076</v>
      </c>
      <c r="E18" s="3625"/>
      <c r="F18" s="3625"/>
      <c r="G18" s="3662" t="s">
        <v>1077</v>
      </c>
    </row>
    <row r="19" spans="1:10" ht="29.25" customHeight="1" thickBot="1" x14ac:dyDescent="0.35">
      <c r="A19" s="3624"/>
      <c r="B19" s="3626"/>
      <c r="C19" s="3626"/>
      <c r="D19" s="2194" t="s">
        <v>844</v>
      </c>
      <c r="E19" s="2194" t="s">
        <v>899</v>
      </c>
      <c r="F19" s="2194" t="s">
        <v>997</v>
      </c>
      <c r="G19" s="3663"/>
    </row>
    <row r="20" spans="1:10" ht="33.75" customHeight="1" thickBot="1" x14ac:dyDescent="0.35">
      <c r="A20" s="3666" t="s">
        <v>884</v>
      </c>
      <c r="B20" s="3667"/>
      <c r="C20" s="3667"/>
      <c r="D20" s="3667"/>
      <c r="E20" s="3667"/>
      <c r="F20" s="3667"/>
      <c r="G20" s="3668"/>
    </row>
    <row r="21" spans="1:10" ht="27.75" customHeight="1" x14ac:dyDescent="0.3">
      <c r="A21" s="3664" t="s">
        <v>1123</v>
      </c>
      <c r="B21" s="3617" t="s">
        <v>1090</v>
      </c>
      <c r="C21" s="2195" t="s">
        <v>1080</v>
      </c>
      <c r="D21" s="2196">
        <f>304.426+362.241</f>
        <v>666.66699999999992</v>
      </c>
      <c r="E21" s="2196">
        <v>0</v>
      </c>
      <c r="F21" s="2201">
        <v>0</v>
      </c>
      <c r="G21" s="3632">
        <v>2021</v>
      </c>
    </row>
    <row r="22" spans="1:10" ht="27.75" customHeight="1" x14ac:dyDescent="0.3">
      <c r="A22" s="3638"/>
      <c r="B22" s="3639"/>
      <c r="C22" s="2177" t="s">
        <v>1081</v>
      </c>
      <c r="D22" s="2178">
        <v>0</v>
      </c>
      <c r="E22" s="2178">
        <v>0</v>
      </c>
      <c r="F22" s="2202">
        <v>0</v>
      </c>
      <c r="G22" s="3633"/>
    </row>
    <row r="23" spans="1:10" ht="43" customHeight="1" thickBot="1" x14ac:dyDescent="0.35">
      <c r="A23" s="3638"/>
      <c r="B23" s="3639"/>
      <c r="C23" s="2184" t="s">
        <v>1082</v>
      </c>
      <c r="D23" s="2185">
        <f>SUM(D21:D22)</f>
        <v>666.66699999999992</v>
      </c>
      <c r="E23" s="2185">
        <f>SUM(E21:E22)</f>
        <v>0</v>
      </c>
      <c r="F23" s="2203">
        <f>SUM(F21:F22)</f>
        <v>0</v>
      </c>
      <c r="G23" s="3634"/>
    </row>
    <row r="24" spans="1:10" ht="34" hidden="1" customHeight="1" x14ac:dyDescent="0.3">
      <c r="A24" s="3635" t="s">
        <v>1072</v>
      </c>
      <c r="B24" s="3636"/>
      <c r="C24" s="3636"/>
      <c r="D24" s="3636"/>
      <c r="E24" s="3636"/>
      <c r="F24" s="3636"/>
      <c r="G24" s="3637" t="s">
        <v>1078</v>
      </c>
    </row>
    <row r="25" spans="1:10" ht="35.5" hidden="1" customHeight="1" x14ac:dyDescent="0.3">
      <c r="A25" s="3638" t="s">
        <v>1083</v>
      </c>
      <c r="B25" s="3639" t="s">
        <v>1079</v>
      </c>
      <c r="C25" s="2177" t="s">
        <v>1080</v>
      </c>
      <c r="D25" s="2178">
        <v>0</v>
      </c>
      <c r="E25" s="2178">
        <v>0</v>
      </c>
      <c r="F25" s="2178">
        <v>0</v>
      </c>
      <c r="G25" s="3637"/>
      <c r="H25" s="2179"/>
      <c r="I25" s="2179"/>
      <c r="J25" s="2179"/>
    </row>
    <row r="26" spans="1:10" ht="35.5" hidden="1" customHeight="1" x14ac:dyDescent="0.3">
      <c r="A26" s="3638"/>
      <c r="B26" s="3639"/>
      <c r="C26" s="2177" t="s">
        <v>1081</v>
      </c>
      <c r="D26" s="2178">
        <v>0</v>
      </c>
      <c r="E26" s="2178">
        <v>0</v>
      </c>
      <c r="F26" s="2178">
        <v>0</v>
      </c>
      <c r="G26" s="3637"/>
      <c r="H26" s="2179"/>
      <c r="I26" s="2179"/>
      <c r="J26" s="2179"/>
    </row>
    <row r="27" spans="1:10" ht="35.5" hidden="1" customHeight="1" x14ac:dyDescent="0.3">
      <c r="A27" s="3638"/>
      <c r="B27" s="3639"/>
      <c r="C27" s="2177" t="s">
        <v>1082</v>
      </c>
      <c r="D27" s="2178">
        <f>SUM(D25:D26)</f>
        <v>0</v>
      </c>
      <c r="E27" s="2178">
        <f>SUM(E25:E26)</f>
        <v>0</v>
      </c>
      <c r="F27" s="2178">
        <f>SUM(F25:F26)</f>
        <v>0</v>
      </c>
      <c r="G27" s="3637"/>
      <c r="H27" s="2179"/>
      <c r="I27" s="2179"/>
      <c r="J27" s="2179"/>
    </row>
    <row r="28" spans="1:10" ht="28.5" hidden="1" customHeight="1" x14ac:dyDescent="0.3">
      <c r="A28" s="3638" t="s">
        <v>1084</v>
      </c>
      <c r="B28" s="3639" t="s">
        <v>1079</v>
      </c>
      <c r="C28" s="2177" t="s">
        <v>1080</v>
      </c>
      <c r="D28" s="2178">
        <v>0</v>
      </c>
      <c r="E28" s="2178">
        <v>0</v>
      </c>
      <c r="F28" s="2178">
        <v>0</v>
      </c>
      <c r="G28" s="3637"/>
      <c r="H28" s="2179"/>
      <c r="I28" s="2179"/>
      <c r="J28" s="2179"/>
    </row>
    <row r="29" spans="1:10" ht="28.5" hidden="1" customHeight="1" x14ac:dyDescent="0.3">
      <c r="A29" s="3638"/>
      <c r="B29" s="3639"/>
      <c r="C29" s="2177" t="s">
        <v>1081</v>
      </c>
      <c r="D29" s="2178">
        <v>0</v>
      </c>
      <c r="E29" s="2178">
        <v>0</v>
      </c>
      <c r="F29" s="2178">
        <v>0</v>
      </c>
      <c r="G29" s="3637"/>
      <c r="H29" s="2179"/>
      <c r="I29" s="2179"/>
      <c r="J29" s="2179"/>
    </row>
    <row r="30" spans="1:10" ht="28.5" hidden="1" customHeight="1" x14ac:dyDescent="0.3">
      <c r="A30" s="3638"/>
      <c r="B30" s="3639"/>
      <c r="C30" s="2177" t="s">
        <v>1082</v>
      </c>
      <c r="D30" s="2178">
        <f>SUM(D28:D29)</f>
        <v>0</v>
      </c>
      <c r="E30" s="2178">
        <f>SUM(E28:E29)</f>
        <v>0</v>
      </c>
      <c r="F30" s="2178">
        <f>SUM(F28:F29)</f>
        <v>0</v>
      </c>
      <c r="G30" s="3637"/>
      <c r="H30" s="2179"/>
      <c r="I30" s="2179"/>
      <c r="J30" s="2179"/>
    </row>
    <row r="31" spans="1:10" ht="28.5" hidden="1" customHeight="1" x14ac:dyDescent="0.3">
      <c r="A31" s="3638" t="s">
        <v>1085</v>
      </c>
      <c r="B31" s="3639" t="s">
        <v>1079</v>
      </c>
      <c r="C31" s="2177" t="s">
        <v>1080</v>
      </c>
      <c r="D31" s="2178">
        <v>0</v>
      </c>
      <c r="E31" s="2178">
        <v>0</v>
      </c>
      <c r="F31" s="2178">
        <v>0</v>
      </c>
      <c r="G31" s="3637"/>
      <c r="H31" s="2179"/>
      <c r="I31" s="2179"/>
      <c r="J31" s="2179"/>
    </row>
    <row r="32" spans="1:10" ht="28.5" hidden="1" customHeight="1" x14ac:dyDescent="0.3">
      <c r="A32" s="3638"/>
      <c r="B32" s="3639"/>
      <c r="C32" s="2177" t="s">
        <v>1081</v>
      </c>
      <c r="D32" s="2178">
        <v>0</v>
      </c>
      <c r="E32" s="2178">
        <v>0</v>
      </c>
      <c r="F32" s="2178">
        <v>0</v>
      </c>
      <c r="G32" s="3637"/>
      <c r="H32" s="2179"/>
      <c r="I32" s="2179"/>
      <c r="J32" s="2179"/>
    </row>
    <row r="33" spans="1:10" ht="28.5" hidden="1" customHeight="1" x14ac:dyDescent="0.3">
      <c r="A33" s="3638"/>
      <c r="B33" s="3639"/>
      <c r="C33" s="2177" t="s">
        <v>1082</v>
      </c>
      <c r="D33" s="2178">
        <f>SUM(D31:D32)</f>
        <v>0</v>
      </c>
      <c r="E33" s="2178">
        <f>SUM(E31:E32)</f>
        <v>0</v>
      </c>
      <c r="F33" s="2178">
        <f>SUM(F31:F32)</f>
        <v>0</v>
      </c>
      <c r="G33" s="3637"/>
      <c r="H33" s="2179"/>
      <c r="I33" s="2179"/>
      <c r="J33" s="2179"/>
    </row>
    <row r="34" spans="1:10" s="2183" customFormat="1" ht="28.5" hidden="1" customHeight="1" x14ac:dyDescent="0.3">
      <c r="A34" s="3660" t="s">
        <v>1072</v>
      </c>
      <c r="B34" s="3661" t="s">
        <v>828</v>
      </c>
      <c r="C34" s="2180" t="s">
        <v>1080</v>
      </c>
      <c r="D34" s="2181">
        <f t="shared" ref="D34:F36" si="0">D25+D28+D31</f>
        <v>0</v>
      </c>
      <c r="E34" s="2181">
        <f t="shared" si="0"/>
        <v>0</v>
      </c>
      <c r="F34" s="2181">
        <f t="shared" si="0"/>
        <v>0</v>
      </c>
      <c r="G34" s="3637"/>
      <c r="H34" s="2182"/>
      <c r="I34" s="2182"/>
      <c r="J34" s="2182"/>
    </row>
    <row r="35" spans="1:10" s="2183" customFormat="1" ht="28.5" hidden="1" customHeight="1" x14ac:dyDescent="0.3">
      <c r="A35" s="3660"/>
      <c r="B35" s="3661"/>
      <c r="C35" s="2180" t="s">
        <v>1081</v>
      </c>
      <c r="D35" s="2181">
        <f t="shared" si="0"/>
        <v>0</v>
      </c>
      <c r="E35" s="2181">
        <f t="shared" si="0"/>
        <v>0</v>
      </c>
      <c r="F35" s="2181">
        <f t="shared" si="0"/>
        <v>0</v>
      </c>
      <c r="G35" s="3637"/>
      <c r="H35" s="2182"/>
      <c r="I35" s="2182"/>
      <c r="J35" s="2182"/>
    </row>
    <row r="36" spans="1:10" s="2183" customFormat="1" ht="26" hidden="1" x14ac:dyDescent="0.3">
      <c r="A36" s="3660"/>
      <c r="B36" s="3661"/>
      <c r="C36" s="2180" t="s">
        <v>1086</v>
      </c>
      <c r="D36" s="2181">
        <f t="shared" si="0"/>
        <v>0</v>
      </c>
      <c r="E36" s="2181">
        <f t="shared" si="0"/>
        <v>0</v>
      </c>
      <c r="F36" s="2181">
        <f t="shared" si="0"/>
        <v>0</v>
      </c>
      <c r="G36" s="3637"/>
      <c r="H36" s="2182"/>
      <c r="I36" s="2182"/>
      <c r="J36" s="2182"/>
    </row>
    <row r="37" spans="1:10" s="2183" customFormat="1" ht="32.5" customHeight="1" x14ac:dyDescent="0.3">
      <c r="A37" s="3629" t="s">
        <v>1124</v>
      </c>
      <c r="B37" s="3616" t="s">
        <v>1090</v>
      </c>
      <c r="C37" s="2177" t="s">
        <v>1080</v>
      </c>
      <c r="D37" s="2178">
        <f>1200</f>
        <v>1200</v>
      </c>
      <c r="E37" s="2178">
        <f>157+5</f>
        <v>162</v>
      </c>
      <c r="F37" s="2202">
        <v>1600</v>
      </c>
      <c r="G37" s="3632">
        <v>2022</v>
      </c>
      <c r="H37" s="2182"/>
      <c r="I37" s="2182"/>
      <c r="J37" s="2182"/>
    </row>
    <row r="38" spans="1:10" s="2183" customFormat="1" ht="30.65" customHeight="1" x14ac:dyDescent="0.3">
      <c r="A38" s="3630"/>
      <c r="B38" s="3627"/>
      <c r="C38" s="2177" t="s">
        <v>1081</v>
      </c>
      <c r="D38" s="2178">
        <v>0</v>
      </c>
      <c r="E38" s="2178">
        <f>1443+95</f>
        <v>1538</v>
      </c>
      <c r="F38" s="2202">
        <v>0</v>
      </c>
      <c r="G38" s="3633"/>
      <c r="H38" s="2182"/>
      <c r="I38" s="2182"/>
      <c r="J38" s="2182"/>
    </row>
    <row r="39" spans="1:10" s="2183" customFormat="1" ht="32.5" customHeight="1" thickBot="1" x14ac:dyDescent="0.35">
      <c r="A39" s="3631"/>
      <c r="B39" s="3628"/>
      <c r="C39" s="2197" t="s">
        <v>1082</v>
      </c>
      <c r="D39" s="2198">
        <f>D37+D38</f>
        <v>1200</v>
      </c>
      <c r="E39" s="2198">
        <f>SUM(E37:E38)</f>
        <v>1700</v>
      </c>
      <c r="F39" s="2204">
        <f>F37+F38</f>
        <v>1600</v>
      </c>
      <c r="G39" s="3634"/>
      <c r="H39" s="2182"/>
      <c r="I39" s="2182"/>
      <c r="J39" s="2182"/>
    </row>
    <row r="40" spans="1:10" s="2183" customFormat="1" ht="13" customHeight="1" x14ac:dyDescent="0.3">
      <c r="A40" s="3649" t="s">
        <v>906</v>
      </c>
      <c r="B40" s="3650"/>
      <c r="C40" s="3650"/>
      <c r="D40" s="3650"/>
      <c r="E40" s="3650"/>
      <c r="F40" s="3650"/>
      <c r="G40" s="3651"/>
      <c r="H40" s="2182"/>
      <c r="I40" s="2182"/>
      <c r="J40" s="2182"/>
    </row>
    <row r="41" spans="1:10" s="2183" customFormat="1" ht="13" customHeight="1" thickBot="1" x14ac:dyDescent="0.35">
      <c r="A41" s="3652"/>
      <c r="B41" s="3653"/>
      <c r="C41" s="3653"/>
      <c r="D41" s="3653"/>
      <c r="E41" s="3653"/>
      <c r="F41" s="3653"/>
      <c r="G41" s="3654"/>
      <c r="H41" s="2182"/>
      <c r="I41" s="2182"/>
      <c r="J41" s="2182"/>
    </row>
    <row r="42" spans="1:10" s="2183" customFormat="1" ht="13.75" hidden="1" customHeight="1" x14ac:dyDescent="0.3">
      <c r="A42" s="2207"/>
      <c r="B42" s="2208"/>
      <c r="C42" s="2208"/>
      <c r="D42" s="2208"/>
      <c r="E42" s="2208"/>
      <c r="F42" s="2209"/>
      <c r="G42" s="2206"/>
      <c r="H42" s="2182"/>
      <c r="I42" s="2182"/>
      <c r="J42" s="2182"/>
    </row>
    <row r="43" spans="1:10" s="2183" customFormat="1" ht="25.15" customHeight="1" thickTop="1" x14ac:dyDescent="0.3">
      <c r="A43" s="3656" t="s">
        <v>1091</v>
      </c>
      <c r="B43" s="3658" t="s">
        <v>1090</v>
      </c>
      <c r="C43" s="2199" t="s">
        <v>1080</v>
      </c>
      <c r="D43" s="2200">
        <v>1000</v>
      </c>
      <c r="E43" s="2200">
        <v>1000</v>
      </c>
      <c r="F43" s="2205">
        <v>1000</v>
      </c>
      <c r="G43" s="3655" t="s">
        <v>1097</v>
      </c>
      <c r="H43" s="2182"/>
      <c r="I43" s="2182"/>
      <c r="J43" s="2182"/>
    </row>
    <row r="44" spans="1:10" s="2183" customFormat="1" ht="19" customHeight="1" x14ac:dyDescent="0.3">
      <c r="A44" s="3638"/>
      <c r="B44" s="3639"/>
      <c r="C44" s="2177" t="s">
        <v>1081</v>
      </c>
      <c r="D44" s="2178">
        <v>0</v>
      </c>
      <c r="E44" s="2178">
        <v>0</v>
      </c>
      <c r="F44" s="2202">
        <v>0</v>
      </c>
      <c r="G44" s="3633"/>
      <c r="H44" s="2182"/>
      <c r="I44" s="2182"/>
      <c r="J44" s="2182"/>
    </row>
    <row r="45" spans="1:10" s="2183" customFormat="1" ht="21.75" customHeight="1" thickBot="1" x14ac:dyDescent="0.35">
      <c r="A45" s="3657"/>
      <c r="B45" s="3659"/>
      <c r="C45" s="2197" t="s">
        <v>1082</v>
      </c>
      <c r="D45" s="2198">
        <f>SUM(D43:D44)</f>
        <v>1000</v>
      </c>
      <c r="E45" s="2198">
        <f>SUM(E43:E44)</f>
        <v>1000</v>
      </c>
      <c r="F45" s="2204">
        <f>SUM(F43:F44)</f>
        <v>1000</v>
      </c>
      <c r="G45" s="3634"/>
      <c r="H45" s="2182"/>
      <c r="I45" s="2182"/>
      <c r="J45" s="2182"/>
    </row>
    <row r="46" spans="1:10" s="2187" customFormat="1" ht="28.5" customHeight="1" x14ac:dyDescent="0.3">
      <c r="A46" s="3640" t="s">
        <v>1093</v>
      </c>
      <c r="B46" s="3643" t="s">
        <v>828</v>
      </c>
      <c r="C46" s="2195" t="s">
        <v>1080</v>
      </c>
      <c r="D46" s="2193">
        <f>D21+D37+D43</f>
        <v>2866.6669999999999</v>
      </c>
      <c r="E46" s="2193">
        <f t="shared" ref="E46:F46" si="1">E21+E37+E43</f>
        <v>1162</v>
      </c>
      <c r="F46" s="2193">
        <f t="shared" si="1"/>
        <v>2600</v>
      </c>
      <c r="G46" s="3646" t="s">
        <v>1087</v>
      </c>
      <c r="H46" s="2186"/>
      <c r="I46" s="2186"/>
      <c r="J46" s="2186"/>
    </row>
    <row r="47" spans="1:10" s="2187" customFormat="1" ht="28.5" customHeight="1" x14ac:dyDescent="0.3">
      <c r="A47" s="3641"/>
      <c r="B47" s="3644"/>
      <c r="C47" s="2177" t="s">
        <v>1081</v>
      </c>
      <c r="D47" s="2185">
        <f>D44+D38+D22</f>
        <v>0</v>
      </c>
      <c r="E47" s="2185">
        <f t="shared" ref="E47:F47" si="2">E44+E38+E22</f>
        <v>1538</v>
      </c>
      <c r="F47" s="2185">
        <f t="shared" si="2"/>
        <v>0</v>
      </c>
      <c r="G47" s="3647"/>
      <c r="H47" s="2186"/>
      <c r="I47" s="2186"/>
      <c r="J47" s="2186"/>
    </row>
    <row r="48" spans="1:10" s="2187" customFormat="1" ht="26.5" thickBot="1" x14ac:dyDescent="0.35">
      <c r="A48" s="3642"/>
      <c r="B48" s="3645"/>
      <c r="C48" s="2197" t="s">
        <v>1088</v>
      </c>
      <c r="D48" s="2198">
        <f>D46+D47</f>
        <v>2866.6669999999999</v>
      </c>
      <c r="E48" s="2198">
        <f>E46+E47</f>
        <v>2700</v>
      </c>
      <c r="F48" s="2198">
        <f>F46+F47</f>
        <v>2600</v>
      </c>
      <c r="G48" s="3648"/>
      <c r="H48" s="2186"/>
      <c r="I48" s="2186"/>
      <c r="J48" s="2186"/>
    </row>
    <row r="49" spans="3:6" x14ac:dyDescent="0.3">
      <c r="D49" s="2188"/>
      <c r="E49" s="2188"/>
      <c r="F49" s="2188"/>
    </row>
    <row r="50" spans="3:6" s="2176" customFormat="1" ht="15.5" x14ac:dyDescent="0.35">
      <c r="C50" s="2189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.5" x14ac:dyDescent="0.35">
      <c r="A1" s="2290"/>
      <c r="B1" s="2290"/>
      <c r="C1" s="2290"/>
      <c r="D1" s="2290"/>
      <c r="E1" s="2290"/>
      <c r="F1" s="2290"/>
      <c r="G1" s="2290"/>
      <c r="H1" s="3500" t="s">
        <v>792</v>
      </c>
      <c r="I1" s="3500"/>
      <c r="J1" s="3500"/>
    </row>
    <row r="2" spans="1:25" ht="15.5" x14ac:dyDescent="0.35">
      <c r="A2" s="2290"/>
      <c r="B2" s="2290"/>
      <c r="C2" s="2290"/>
      <c r="D2" s="2290"/>
      <c r="E2" s="2290"/>
      <c r="F2" s="2290"/>
      <c r="G2" s="2290"/>
      <c r="H2" s="3500" t="s">
        <v>450</v>
      </c>
      <c r="I2" s="3500"/>
      <c r="J2" s="3500"/>
    </row>
    <row r="3" spans="1:25" ht="15.5" x14ac:dyDescent="0.35">
      <c r="A3" s="2290"/>
      <c r="B3" s="2290"/>
      <c r="C3" s="2290"/>
      <c r="D3" s="2290"/>
      <c r="E3" s="2290"/>
      <c r="F3" s="2290"/>
      <c r="G3" s="2290"/>
      <c r="H3" s="3500" t="s">
        <v>449</v>
      </c>
      <c r="I3" s="3500"/>
      <c r="J3" s="3500"/>
    </row>
    <row r="4" spans="1:25" ht="15.5" x14ac:dyDescent="0.35">
      <c r="A4" s="2290"/>
      <c r="B4" s="2290"/>
      <c r="C4" s="2290"/>
      <c r="D4" s="2290"/>
      <c r="E4" s="2290"/>
      <c r="F4" s="2290"/>
      <c r="G4" s="2290"/>
      <c r="H4" s="3500" t="s">
        <v>448</v>
      </c>
      <c r="I4" s="3500"/>
      <c r="J4" s="3500"/>
    </row>
    <row r="5" spans="1:25" ht="15.5" x14ac:dyDescent="0.35">
      <c r="A5" s="2290"/>
      <c r="B5" s="2290"/>
      <c r="C5" s="2290"/>
      <c r="D5" s="2290"/>
      <c r="E5" s="2290"/>
      <c r="F5" s="2290"/>
      <c r="G5" s="2290"/>
      <c r="H5" s="3500" t="s">
        <v>1151</v>
      </c>
      <c r="I5" s="3500"/>
      <c r="J5" s="3500"/>
    </row>
    <row r="6" spans="1:25" ht="15.5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292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292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258" t="s">
        <v>1103</v>
      </c>
      <c r="I11" s="3258"/>
      <c r="J11" s="325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669" t="s">
        <v>983</v>
      </c>
      <c r="C14" s="3669"/>
      <c r="D14" s="3669"/>
      <c r="E14" s="3669"/>
      <c r="F14" s="3669"/>
      <c r="G14" s="3669"/>
      <c r="H14" s="3669"/>
      <c r="I14" s="3669"/>
      <c r="J14" s="3669"/>
    </row>
    <row r="15" spans="1:25" ht="20.149999999999999" customHeight="1" x14ac:dyDescent="0.35">
      <c r="A15" s="3499" t="s">
        <v>869</v>
      </c>
      <c r="B15" s="3499"/>
      <c r="C15" s="3499"/>
      <c r="D15" s="3499"/>
      <c r="E15" s="3499"/>
      <c r="F15" s="3499"/>
      <c r="G15" s="3499"/>
      <c r="H15" s="3499"/>
      <c r="I15" s="3499"/>
      <c r="J15" s="3499"/>
      <c r="K15" s="2253"/>
    </row>
    <row r="16" spans="1:25" ht="15.75" customHeight="1" x14ac:dyDescent="0.35">
      <c r="A16" s="2998" t="s">
        <v>992</v>
      </c>
      <c r="B16" s="2998"/>
      <c r="C16" s="2998"/>
      <c r="D16" s="2998"/>
      <c r="E16" s="2998"/>
      <c r="F16" s="2998"/>
      <c r="G16" s="2998"/>
      <c r="H16" s="2998"/>
      <c r="I16" s="2998"/>
      <c r="J16" s="299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00"/>
      <c r="D17" s="2300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03" t="s">
        <v>611</v>
      </c>
      <c r="C18" s="2304" t="s">
        <v>980</v>
      </c>
      <c r="D18" s="2304" t="s">
        <v>609</v>
      </c>
      <c r="E18" s="2304" t="s">
        <v>608</v>
      </c>
      <c r="F18" s="2304" t="s">
        <v>607</v>
      </c>
      <c r="G18" s="2304" t="s">
        <v>606</v>
      </c>
      <c r="H18" s="2304" t="s">
        <v>981</v>
      </c>
      <c r="I18" s="2304" t="s">
        <v>982</v>
      </c>
      <c r="J18" s="2305" t="s">
        <v>1042</v>
      </c>
    </row>
    <row r="19" spans="1:10" ht="123" customHeight="1" x14ac:dyDescent="0.3">
      <c r="A19" s="2290"/>
      <c r="B19" s="2306">
        <v>1</v>
      </c>
      <c r="C19" s="2307" t="s">
        <v>987</v>
      </c>
      <c r="D19" s="2308" t="s">
        <v>452</v>
      </c>
      <c r="E19" s="2308" t="s">
        <v>539</v>
      </c>
      <c r="F19" s="2308" t="s">
        <v>214</v>
      </c>
      <c r="G19" s="2308"/>
      <c r="H19" s="2309">
        <f>H20</f>
        <v>2322.3869999999997</v>
      </c>
      <c r="I19" s="2309">
        <f>I20</f>
        <v>1331.5219999999999</v>
      </c>
      <c r="J19" s="2310">
        <f>J20</f>
        <v>383.2</v>
      </c>
    </row>
    <row r="20" spans="1:10" s="2254" customFormat="1" ht="55" customHeight="1" x14ac:dyDescent="0.35">
      <c r="A20" s="2311"/>
      <c r="B20" s="2312"/>
      <c r="C20" s="2313" t="s">
        <v>988</v>
      </c>
      <c r="D20" s="2308" t="s">
        <v>452</v>
      </c>
      <c r="E20" s="2308" t="s">
        <v>539</v>
      </c>
      <c r="F20" s="2308" t="s">
        <v>984</v>
      </c>
      <c r="G20" s="2314"/>
      <c r="H20" s="2315">
        <f>H21+H23</f>
        <v>2322.3869999999997</v>
      </c>
      <c r="I20" s="2315">
        <f>I21+I23</f>
        <v>1331.5219999999999</v>
      </c>
      <c r="J20" s="2316">
        <f>J21+J23</f>
        <v>383.2</v>
      </c>
    </row>
    <row r="21" spans="1:10" s="2254" customFormat="1" ht="33.75" customHeight="1" x14ac:dyDescent="0.35">
      <c r="A21" s="2311"/>
      <c r="B21" s="2312"/>
      <c r="C21" s="2313" t="s">
        <v>1149</v>
      </c>
      <c r="D21" s="2308" t="s">
        <v>452</v>
      </c>
      <c r="E21" s="2308" t="s">
        <v>539</v>
      </c>
      <c r="F21" s="2308" t="s">
        <v>984</v>
      </c>
      <c r="G21" s="2317" t="s">
        <v>1</v>
      </c>
      <c r="H21" s="2315">
        <f>766.4+832.9</f>
        <v>1599.3</v>
      </c>
      <c r="I21" s="2315">
        <v>766.4</v>
      </c>
      <c r="J21" s="2316">
        <v>383.2</v>
      </c>
    </row>
    <row r="22" spans="1:10" s="2254" customFormat="1" ht="33.75" customHeight="1" x14ac:dyDescent="0.35">
      <c r="A22" s="2311"/>
      <c r="B22" s="2312"/>
      <c r="C22" s="2313" t="s">
        <v>619</v>
      </c>
      <c r="D22" s="2308" t="s">
        <v>452</v>
      </c>
      <c r="E22" s="2308" t="s">
        <v>539</v>
      </c>
      <c r="F22" s="2308" t="s">
        <v>213</v>
      </c>
      <c r="G22" s="2317"/>
      <c r="H22" s="2315">
        <f>H23</f>
        <v>723.08699999999999</v>
      </c>
      <c r="I22" s="2315">
        <f>I23</f>
        <v>565.12199999999996</v>
      </c>
      <c r="J22" s="2316">
        <f>J23</f>
        <v>0</v>
      </c>
    </row>
    <row r="23" spans="1:10" s="2254" customFormat="1" ht="52.5" customHeight="1" x14ac:dyDescent="0.35">
      <c r="A23" s="2311"/>
      <c r="B23" s="2312"/>
      <c r="C23" s="2313" t="s">
        <v>1150</v>
      </c>
      <c r="D23" s="2308" t="s">
        <v>452</v>
      </c>
      <c r="E23" s="2308" t="s">
        <v>539</v>
      </c>
      <c r="F23" s="2308" t="s">
        <v>213</v>
      </c>
      <c r="G23" s="2317" t="s">
        <v>1</v>
      </c>
      <c r="H23" s="2315">
        <v>723.08699999999999</v>
      </c>
      <c r="I23" s="2315">
        <v>565.12199999999996</v>
      </c>
      <c r="J23" s="2316">
        <v>0</v>
      </c>
    </row>
    <row r="24" spans="1:10" s="2254" customFormat="1" ht="52.5" hidden="1" customHeight="1" x14ac:dyDescent="0.35">
      <c r="A24" s="2311"/>
      <c r="B24" s="2318"/>
      <c r="C24" s="2319"/>
      <c r="D24" s="2308" t="s">
        <v>452</v>
      </c>
      <c r="E24" s="2308" t="s">
        <v>539</v>
      </c>
      <c r="F24" s="2308" t="s">
        <v>205</v>
      </c>
      <c r="G24" s="2317" t="s">
        <v>1</v>
      </c>
      <c r="H24" s="2320"/>
      <c r="I24" s="2320"/>
      <c r="J24" s="2321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326">
        <f>H19</f>
        <v>2322.3869999999997</v>
      </c>
      <c r="I25" s="2326">
        <f>I19</f>
        <v>1331.5219999999999</v>
      </c>
      <c r="J25" s="2327">
        <f>J19</f>
        <v>383.2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zoomScale="64" zoomScaleNormal="64" workbookViewId="0">
      <selection activeCell="O22" sqref="O22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" customHeight="1" x14ac:dyDescent="0.35">
      <c r="A1" s="2290"/>
      <c r="B1" s="2290"/>
      <c r="C1" s="2290"/>
      <c r="D1" s="2290"/>
      <c r="E1" s="2290"/>
      <c r="F1" s="2290"/>
      <c r="G1" s="2290"/>
      <c r="H1" s="3500" t="s">
        <v>936</v>
      </c>
      <c r="I1" s="3500"/>
      <c r="J1" s="3500"/>
    </row>
    <row r="2" spans="1:25" ht="14.15" customHeight="1" x14ac:dyDescent="0.35">
      <c r="A2" s="2290"/>
      <c r="B2" s="2290"/>
      <c r="C2" s="2290"/>
      <c r="D2" s="2290"/>
      <c r="E2" s="2290"/>
      <c r="F2" s="2290"/>
      <c r="G2" s="2290"/>
      <c r="H2" s="3500" t="s">
        <v>450</v>
      </c>
      <c r="I2" s="3500"/>
      <c r="J2" s="3500"/>
    </row>
    <row r="3" spans="1:25" ht="16" customHeight="1" x14ac:dyDescent="0.35">
      <c r="A3" s="2290"/>
      <c r="B3" s="2290"/>
      <c r="C3" s="2290"/>
      <c r="D3" s="2290"/>
      <c r="E3" s="2290"/>
      <c r="F3" s="2290"/>
      <c r="G3" s="2290"/>
      <c r="H3" s="3500" t="s">
        <v>449</v>
      </c>
      <c r="I3" s="3500"/>
      <c r="J3" s="3500"/>
    </row>
    <row r="4" spans="1:25" ht="16" customHeight="1" x14ac:dyDescent="0.35">
      <c r="A4" s="2290"/>
      <c r="B4" s="2290"/>
      <c r="C4" s="2290"/>
      <c r="D4" s="2290"/>
      <c r="E4" s="2290"/>
      <c r="F4" s="2290"/>
      <c r="G4" s="2290"/>
      <c r="H4" s="3500" t="s">
        <v>448</v>
      </c>
      <c r="I4" s="3500"/>
      <c r="J4" s="3500"/>
    </row>
    <row r="5" spans="1:25" ht="15" customHeight="1" x14ac:dyDescent="0.35">
      <c r="A5" s="2290"/>
      <c r="B5" s="2290"/>
      <c r="C5" s="2290"/>
      <c r="D5" s="2290"/>
      <c r="E5" s="2290"/>
      <c r="F5" s="2290"/>
      <c r="G5" s="2290"/>
      <c r="H5" s="3500" t="str">
        <f>'прил 5 2021-2023'!$V$5</f>
        <v xml:space="preserve">    от  " 22 " сентября  2021 года № 221 </v>
      </c>
      <c r="I5" s="3500"/>
      <c r="J5" s="3500"/>
    </row>
    <row r="6" spans="1:25" ht="16" customHeight="1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386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386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258" t="s">
        <v>1223</v>
      </c>
      <c r="I11" s="3258"/>
      <c r="J11" s="325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670" t="s">
        <v>983</v>
      </c>
      <c r="C14" s="3670"/>
      <c r="D14" s="3670"/>
      <c r="E14" s="3670"/>
      <c r="F14" s="3670"/>
      <c r="G14" s="3670"/>
      <c r="H14" s="3670"/>
      <c r="I14" s="3670"/>
      <c r="J14" s="3670"/>
    </row>
    <row r="15" spans="1:25" ht="20.149999999999999" customHeight="1" x14ac:dyDescent="0.35">
      <c r="A15" s="3499" t="s">
        <v>869</v>
      </c>
      <c r="B15" s="3499"/>
      <c r="C15" s="3499"/>
      <c r="D15" s="3499"/>
      <c r="E15" s="3499"/>
      <c r="F15" s="3499"/>
      <c r="G15" s="3499"/>
      <c r="H15" s="3499"/>
      <c r="I15" s="3499"/>
      <c r="J15" s="3499"/>
      <c r="K15" s="2253"/>
    </row>
    <row r="16" spans="1:25" ht="15.75" customHeight="1" x14ac:dyDescent="0.35">
      <c r="A16" s="2998" t="s">
        <v>1195</v>
      </c>
      <c r="B16" s="2998"/>
      <c r="C16" s="2998"/>
      <c r="D16" s="2998"/>
      <c r="E16" s="2998"/>
      <c r="F16" s="2998"/>
      <c r="G16" s="2998"/>
      <c r="H16" s="2998"/>
      <c r="I16" s="2998"/>
      <c r="J16" s="299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58"/>
      <c r="D17" s="2358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59" t="s">
        <v>611</v>
      </c>
      <c r="C18" s="2360" t="s">
        <v>980</v>
      </c>
      <c r="D18" s="2360" t="s">
        <v>609</v>
      </c>
      <c r="E18" s="2360" t="s">
        <v>608</v>
      </c>
      <c r="F18" s="2360" t="s">
        <v>607</v>
      </c>
      <c r="G18" s="2360" t="s">
        <v>606</v>
      </c>
      <c r="H18" s="2360" t="s">
        <v>982</v>
      </c>
      <c r="I18" s="2360" t="s">
        <v>1042</v>
      </c>
      <c r="J18" s="2361" t="s">
        <v>1204</v>
      </c>
    </row>
    <row r="19" spans="1:10" ht="123" customHeight="1" x14ac:dyDescent="0.3">
      <c r="A19" s="2290"/>
      <c r="B19" s="2362">
        <v>1</v>
      </c>
      <c r="C19" s="2363" t="s">
        <v>987</v>
      </c>
      <c r="D19" s="2364" t="s">
        <v>452</v>
      </c>
      <c r="E19" s="2364" t="s">
        <v>539</v>
      </c>
      <c r="F19" s="2364" t="s">
        <v>214</v>
      </c>
      <c r="G19" s="2364"/>
      <c r="H19" s="2425">
        <f>H21+H23</f>
        <v>1601.02567</v>
      </c>
      <c r="I19" s="2425">
        <f>I21+I23</f>
        <v>32280.303879999999</v>
      </c>
      <c r="J19" s="2426">
        <f>J21+J23</f>
        <v>948.3</v>
      </c>
    </row>
    <row r="20" spans="1:10" s="2254" customFormat="1" ht="55" customHeight="1" x14ac:dyDescent="0.35">
      <c r="A20" s="2311"/>
      <c r="B20" s="2367"/>
      <c r="C20" s="2368" t="s">
        <v>988</v>
      </c>
      <c r="D20" s="2364" t="s">
        <v>452</v>
      </c>
      <c r="E20" s="2364" t="s">
        <v>539</v>
      </c>
      <c r="F20" s="2364" t="s">
        <v>984</v>
      </c>
      <c r="G20" s="2369"/>
      <c r="H20" s="2427">
        <f>H21</f>
        <v>652.5</v>
      </c>
      <c r="I20" s="2427">
        <f>I21</f>
        <v>31332.00388</v>
      </c>
      <c r="J20" s="2428">
        <f>J21</f>
        <v>0</v>
      </c>
    </row>
    <row r="21" spans="1:10" s="2254" customFormat="1" ht="41.15" customHeight="1" x14ac:dyDescent="0.35">
      <c r="A21" s="2311"/>
      <c r="B21" s="2367"/>
      <c r="C21" s="2368" t="s">
        <v>1210</v>
      </c>
      <c r="D21" s="2364" t="s">
        <v>452</v>
      </c>
      <c r="E21" s="2364" t="s">
        <v>539</v>
      </c>
      <c r="F21" s="2364" t="s">
        <v>984</v>
      </c>
      <c r="G21" s="2372" t="s">
        <v>1</v>
      </c>
      <c r="H21" s="2427">
        <v>652.5</v>
      </c>
      <c r="I21" s="2427">
        <f>31332.00388</f>
        <v>31332.00388</v>
      </c>
      <c r="J21" s="2428">
        <v>0</v>
      </c>
    </row>
    <row r="22" spans="1:10" s="2254" customFormat="1" ht="33.75" customHeight="1" x14ac:dyDescent="0.35">
      <c r="A22" s="2311"/>
      <c r="B22" s="2367"/>
      <c r="C22" s="2368" t="s">
        <v>619</v>
      </c>
      <c r="D22" s="2364" t="s">
        <v>452</v>
      </c>
      <c r="E22" s="2364" t="s">
        <v>539</v>
      </c>
      <c r="F22" s="2364" t="s">
        <v>213</v>
      </c>
      <c r="G22" s="2372"/>
      <c r="H22" s="2427">
        <f>H23</f>
        <v>948.52566999999999</v>
      </c>
      <c r="I22" s="2427">
        <f>I23</f>
        <v>948.3</v>
      </c>
      <c r="J22" s="2428">
        <f>J23</f>
        <v>948.3</v>
      </c>
    </row>
    <row r="23" spans="1:10" s="2254" customFormat="1" ht="52.5" customHeight="1" x14ac:dyDescent="0.35">
      <c r="A23" s="2311"/>
      <c r="B23" s="2367"/>
      <c r="C23" s="2368" t="s">
        <v>1150</v>
      </c>
      <c r="D23" s="2364" t="s">
        <v>452</v>
      </c>
      <c r="E23" s="2364" t="s">
        <v>539</v>
      </c>
      <c r="F23" s="2364" t="s">
        <v>213</v>
      </c>
      <c r="G23" s="2372" t="s">
        <v>1</v>
      </c>
      <c r="H23" s="2427">
        <f>948.3+0.22567</f>
        <v>948.52566999999999</v>
      </c>
      <c r="I23" s="2427">
        <v>948.3</v>
      </c>
      <c r="J23" s="2428">
        <v>948.3</v>
      </c>
    </row>
    <row r="24" spans="1:10" s="2254" customFormat="1" ht="52.5" hidden="1" customHeight="1" x14ac:dyDescent="0.35">
      <c r="A24" s="2311"/>
      <c r="B24" s="2373"/>
      <c r="C24" s="2374"/>
      <c r="D24" s="2364" t="s">
        <v>452</v>
      </c>
      <c r="E24" s="2364" t="s">
        <v>539</v>
      </c>
      <c r="F24" s="2364" t="s">
        <v>205</v>
      </c>
      <c r="G24" s="2372" t="s">
        <v>1</v>
      </c>
      <c r="H24" s="2375"/>
      <c r="I24" s="2375"/>
      <c r="J24" s="2376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423">
        <f>H19</f>
        <v>1601.02567</v>
      </c>
      <c r="I25" s="2423">
        <f>I19</f>
        <v>32280.303879999999</v>
      </c>
      <c r="J25" s="2424">
        <f>J19</f>
        <v>948.3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topLeftCell="A11" zoomScale="70" zoomScaleNormal="70" workbookViewId="0">
      <selection activeCell="K16" sqref="K16:X1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8.54296875" style="443" customWidth="1"/>
    <col min="13" max="16" width="17.453125" style="221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2.1796875" style="547" hidden="1" customWidth="1"/>
    <col min="22" max="22" width="17" style="547" customWidth="1"/>
    <col min="23" max="23" width="18.17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413"/>
    </row>
    <row r="2" spans="8:24" hidden="1" x14ac:dyDescent="0.35">
      <c r="J2" s="541"/>
      <c r="L2" s="869" t="s">
        <v>450</v>
      </c>
      <c r="M2" s="2413"/>
      <c r="N2" s="2413"/>
    </row>
    <row r="3" spans="8:24" hidden="1" x14ac:dyDescent="0.35">
      <c r="H3" s="541"/>
      <c r="I3" s="541"/>
      <c r="J3" s="541"/>
      <c r="L3" s="869" t="s">
        <v>626</v>
      </c>
      <c r="M3" s="2413"/>
      <c r="N3" s="2413"/>
      <c r="O3" s="2413"/>
      <c r="P3" s="2413"/>
    </row>
    <row r="4" spans="8:24" hidden="1" x14ac:dyDescent="0.35">
      <c r="I4" s="541"/>
      <c r="J4" s="541"/>
      <c r="L4" s="869" t="s">
        <v>448</v>
      </c>
      <c r="M4" s="2413"/>
      <c r="N4" s="2413"/>
      <c r="O4" s="2413"/>
    </row>
    <row r="5" spans="8:24" hidden="1" x14ac:dyDescent="0.35">
      <c r="I5" s="541"/>
      <c r="J5" s="541"/>
      <c r="L5" s="869" t="s">
        <v>448</v>
      </c>
      <c r="M5" s="2413"/>
      <c r="N5" s="2413"/>
      <c r="O5" s="2413"/>
    </row>
    <row r="6" spans="8:24" hidden="1" x14ac:dyDescent="0.35">
      <c r="J6" s="541"/>
      <c r="L6" s="2216" t="s">
        <v>627</v>
      </c>
      <c r="M6" s="2415"/>
      <c r="N6" s="2415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t="6" customHeight="1" x14ac:dyDescent="0.35">
      <c r="L11" s="869"/>
    </row>
    <row r="12" spans="8:24" ht="14.15" customHeight="1" x14ac:dyDescent="0.35">
      <c r="K12" s="3315" t="s">
        <v>625</v>
      </c>
      <c r="L12" s="3315"/>
      <c r="M12" s="3315"/>
      <c r="N12" s="3315"/>
      <c r="O12" s="3315"/>
      <c r="P12" s="3315"/>
      <c r="Q12" s="3315"/>
      <c r="R12" s="3315"/>
      <c r="S12" s="3315"/>
      <c r="T12" s="3315"/>
      <c r="U12" s="3315"/>
      <c r="V12" s="3315"/>
      <c r="W12" s="3315"/>
      <c r="X12" s="3315"/>
    </row>
    <row r="13" spans="8:24" ht="11.15" customHeight="1" x14ac:dyDescent="0.35">
      <c r="K13" s="3315" t="s">
        <v>450</v>
      </c>
      <c r="L13" s="3315"/>
      <c r="M13" s="3315"/>
      <c r="N13" s="3315"/>
      <c r="O13" s="3315"/>
      <c r="P13" s="3315"/>
      <c r="Q13" s="3315"/>
      <c r="R13" s="3315"/>
      <c r="S13" s="3315"/>
      <c r="T13" s="3315"/>
      <c r="U13" s="3315"/>
      <c r="V13" s="3315"/>
      <c r="W13" s="3315"/>
      <c r="X13" s="3315"/>
    </row>
    <row r="14" spans="8:24" ht="13" customHeight="1" x14ac:dyDescent="0.35">
      <c r="K14" s="3315" t="s">
        <v>449</v>
      </c>
      <c r="L14" s="3315"/>
      <c r="M14" s="3315"/>
      <c r="N14" s="3315"/>
      <c r="O14" s="3315"/>
      <c r="P14" s="3315"/>
      <c r="Q14" s="3315"/>
      <c r="R14" s="3315"/>
      <c r="S14" s="3315"/>
      <c r="T14" s="3315"/>
      <c r="U14" s="3315"/>
      <c r="V14" s="3315"/>
      <c r="W14" s="3315"/>
      <c r="X14" s="3315"/>
    </row>
    <row r="15" spans="8:24" ht="15.65" customHeight="1" x14ac:dyDescent="0.35">
      <c r="K15" s="3315" t="s">
        <v>448</v>
      </c>
      <c r="L15" s="3315"/>
      <c r="M15" s="3315"/>
      <c r="N15" s="3315"/>
      <c r="O15" s="3315"/>
      <c r="P15" s="3315"/>
      <c r="Q15" s="3315"/>
      <c r="R15" s="3315"/>
      <c r="S15" s="3315"/>
      <c r="T15" s="3315"/>
      <c r="U15" s="3315"/>
      <c r="V15" s="3315"/>
      <c r="W15" s="3315"/>
      <c r="X15" s="3315"/>
    </row>
    <row r="16" spans="8:24" ht="15.65" customHeight="1" x14ac:dyDescent="0.35">
      <c r="K16" s="3316" t="s">
        <v>1230</v>
      </c>
      <c r="L16" s="3316"/>
      <c r="M16" s="3316" t="s">
        <v>1225</v>
      </c>
      <c r="N16" s="3316"/>
      <c r="O16" s="3316" t="s">
        <v>1225</v>
      </c>
      <c r="P16" s="3316"/>
      <c r="Q16" s="3316" t="s">
        <v>1225</v>
      </c>
      <c r="R16" s="3316"/>
      <c r="S16" s="3316" t="s">
        <v>1225</v>
      </c>
      <c r="T16" s="3316"/>
      <c r="U16" s="3316" t="s">
        <v>1225</v>
      </c>
      <c r="V16" s="3316"/>
      <c r="W16" s="3316" t="s">
        <v>1225</v>
      </c>
      <c r="X16" s="3316"/>
    </row>
    <row r="17" spans="1:24" ht="19" customHeight="1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2997" t="s">
        <v>625</v>
      </c>
      <c r="V18" s="2997"/>
      <c r="W18" s="2997"/>
    </row>
    <row r="19" spans="1:24" x14ac:dyDescent="0.35">
      <c r="Q19" s="877"/>
      <c r="U19" s="2997" t="s">
        <v>450</v>
      </c>
      <c r="V19" s="2997"/>
      <c r="W19" s="2997"/>
    </row>
    <row r="20" spans="1:24" x14ac:dyDescent="0.35">
      <c r="K20" s="2997" t="s">
        <v>449</v>
      </c>
      <c r="L20" s="2997"/>
      <c r="M20" s="2997"/>
      <c r="N20" s="2997"/>
      <c r="O20" s="2997"/>
      <c r="P20" s="2997"/>
      <c r="Q20" s="2997"/>
      <c r="R20" s="2997"/>
      <c r="S20" s="2997"/>
      <c r="T20" s="2997"/>
      <c r="U20" s="2997"/>
      <c r="V20" s="2997"/>
      <c r="W20" s="2997"/>
    </row>
    <row r="21" spans="1:24" x14ac:dyDescent="0.35">
      <c r="K21" s="2997" t="s">
        <v>448</v>
      </c>
      <c r="L21" s="2997"/>
      <c r="M21" s="2997"/>
      <c r="N21" s="2997"/>
      <c r="O21" s="2997"/>
      <c r="P21" s="2997"/>
      <c r="Q21" s="2997"/>
      <c r="R21" s="2997"/>
      <c r="S21" s="2997"/>
      <c r="T21" s="2997"/>
      <c r="U21" s="2997"/>
      <c r="V21" s="2997"/>
      <c r="W21" s="2997"/>
    </row>
    <row r="22" spans="1:24" x14ac:dyDescent="0.25">
      <c r="K22" s="3328" t="s">
        <v>1223</v>
      </c>
      <c r="L22" s="3328"/>
      <c r="M22" s="3328"/>
      <c r="N22" s="3328"/>
      <c r="O22" s="3328"/>
      <c r="P22" s="3328"/>
      <c r="Q22" s="3328"/>
      <c r="R22" s="3328"/>
      <c r="S22" s="3328"/>
      <c r="T22" s="3328"/>
      <c r="U22" s="3328"/>
      <c r="V22" s="3328"/>
      <c r="W22" s="3328"/>
      <c r="X22" s="3328"/>
    </row>
    <row r="23" spans="1:24" hidden="1" x14ac:dyDescent="0.35">
      <c r="Q23" s="541"/>
      <c r="R23" s="2413"/>
      <c r="S23" s="2413"/>
      <c r="T23" s="2413"/>
      <c r="U23" s="2413"/>
    </row>
    <row r="24" spans="1:24" hidden="1" x14ac:dyDescent="0.35">
      <c r="L24" s="2413" t="s">
        <v>446</v>
      </c>
      <c r="Q24" s="541"/>
      <c r="R24" s="2413"/>
      <c r="S24" s="2413"/>
      <c r="T24" s="2413"/>
    </row>
    <row r="25" spans="1:24" hidden="1" x14ac:dyDescent="0.35">
      <c r="L25" s="541"/>
      <c r="Q25" s="541"/>
      <c r="R25" s="2413"/>
      <c r="S25" s="2413"/>
      <c r="T25" s="2413"/>
      <c r="U25" s="2413"/>
    </row>
    <row r="26" spans="1:24" hidden="1" x14ac:dyDescent="0.35">
      <c r="L26" s="2413" t="s">
        <v>842</v>
      </c>
      <c r="Q26" s="541"/>
      <c r="R26" s="2413"/>
      <c r="S26" s="2413"/>
      <c r="T26" s="2413"/>
    </row>
    <row r="27" spans="1:24" hidden="1" x14ac:dyDescent="0.35">
      <c r="J27" s="2413"/>
      <c r="K27" s="869"/>
      <c r="L27" s="2413"/>
    </row>
    <row r="28" spans="1:24" hidden="1" x14ac:dyDescent="0.35">
      <c r="J28" s="2413"/>
      <c r="K28" s="869"/>
      <c r="L28" s="869"/>
    </row>
    <row r="29" spans="1:24" hidden="1" x14ac:dyDescent="0.35"/>
    <row r="30" spans="1:24" ht="19.5" customHeight="1" x14ac:dyDescent="0.35">
      <c r="A30" s="2998" t="s">
        <v>629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M30" s="2998"/>
      <c r="N30" s="2998"/>
      <c r="O30" s="2998"/>
      <c r="P30" s="2998"/>
      <c r="Q30" s="2998"/>
      <c r="R30" s="2998"/>
      <c r="S30" s="2998"/>
      <c r="T30" s="2998"/>
      <c r="U30" s="2998"/>
      <c r="V30" s="2998"/>
      <c r="W30" s="2998"/>
    </row>
    <row r="31" spans="1:24" ht="17.5" x14ac:dyDescent="0.35">
      <c r="A31" s="2998" t="s">
        <v>630</v>
      </c>
      <c r="B31" s="2998"/>
      <c r="C31" s="2998"/>
      <c r="D31" s="2998"/>
      <c r="E31" s="2998"/>
      <c r="F31" s="2998"/>
      <c r="G31" s="2998"/>
      <c r="H31" s="2998"/>
      <c r="I31" s="2998"/>
      <c r="J31" s="2998"/>
      <c r="K31" s="2998"/>
      <c r="L31" s="2998"/>
      <c r="M31" s="2998"/>
      <c r="N31" s="2998"/>
      <c r="O31" s="2998"/>
      <c r="P31" s="2998"/>
      <c r="Q31" s="2998"/>
      <c r="R31" s="2998"/>
      <c r="S31" s="2998"/>
      <c r="T31" s="2998"/>
      <c r="U31" s="2998"/>
      <c r="V31" s="2998"/>
      <c r="W31" s="2998"/>
    </row>
    <row r="32" spans="1:24" ht="17.5" hidden="1" x14ac:dyDescent="0.35">
      <c r="A32" s="2998"/>
      <c r="B32" s="2998"/>
      <c r="C32" s="2998"/>
      <c r="D32" s="2998"/>
      <c r="E32" s="2998"/>
      <c r="F32" s="2998"/>
      <c r="G32" s="2998"/>
      <c r="H32" s="2998"/>
      <c r="I32" s="2998"/>
      <c r="J32" s="2998"/>
      <c r="K32" s="2998"/>
      <c r="L32" s="2998"/>
    </row>
    <row r="33" spans="1:23" ht="17.5" x14ac:dyDescent="0.35">
      <c r="A33" s="2998" t="s">
        <v>1195</v>
      </c>
      <c r="B33" s="2998"/>
      <c r="C33" s="2998"/>
      <c r="D33" s="2998"/>
      <c r="E33" s="2998"/>
      <c r="F33" s="2998"/>
      <c r="G33" s="2998"/>
      <c r="H33" s="2998"/>
      <c r="I33" s="2998"/>
      <c r="J33" s="2998"/>
      <c r="K33" s="2998"/>
      <c r="L33" s="2998"/>
      <c r="M33" s="2998"/>
      <c r="N33" s="2998"/>
      <c r="O33" s="2998"/>
      <c r="P33" s="2998"/>
      <c r="Q33" s="2998"/>
      <c r="R33" s="2998"/>
      <c r="S33" s="2998"/>
      <c r="T33" s="2998"/>
      <c r="U33" s="2998"/>
      <c r="V33" s="2998"/>
      <c r="W33" s="2998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999"/>
      <c r="L34" s="2999"/>
      <c r="R34" s="3000"/>
      <c r="S34" s="3000"/>
      <c r="T34" s="3000" t="s">
        <v>631</v>
      </c>
      <c r="U34" s="3000"/>
      <c r="W34" s="541" t="s">
        <v>631</v>
      </c>
    </row>
    <row r="35" spans="1:23" x14ac:dyDescent="0.35">
      <c r="A35" s="3012" t="s">
        <v>632</v>
      </c>
      <c r="B35" s="3013"/>
      <c r="C35" s="3014"/>
      <c r="D35" s="3015" t="s">
        <v>633</v>
      </c>
      <c r="E35" s="3016"/>
      <c r="F35" s="3016"/>
      <c r="G35" s="3016"/>
      <c r="H35" s="3016"/>
      <c r="I35" s="3016"/>
      <c r="J35" s="3017"/>
      <c r="K35" s="3015" t="s">
        <v>894</v>
      </c>
      <c r="L35" s="3017"/>
      <c r="M35" s="3326" t="s">
        <v>635</v>
      </c>
      <c r="N35" s="3023" t="s">
        <v>636</v>
      </c>
      <c r="O35" s="3023" t="s">
        <v>637</v>
      </c>
      <c r="P35" s="3326" t="s">
        <v>638</v>
      </c>
      <c r="Q35" s="3042" t="s">
        <v>639</v>
      </c>
      <c r="R35" s="3002" t="s">
        <v>634</v>
      </c>
      <c r="S35" s="3003"/>
      <c r="T35" s="3002" t="s">
        <v>640</v>
      </c>
      <c r="U35" s="3003"/>
      <c r="V35" s="3017" t="s">
        <v>993</v>
      </c>
      <c r="W35" s="3017" t="s">
        <v>1198</v>
      </c>
    </row>
    <row r="36" spans="1:23" ht="16" thickBot="1" x14ac:dyDescent="0.4">
      <c r="A36" s="3006" t="s">
        <v>641</v>
      </c>
      <c r="B36" s="2999"/>
      <c r="C36" s="3007"/>
      <c r="D36" s="3018"/>
      <c r="E36" s="3019"/>
      <c r="F36" s="3019"/>
      <c r="G36" s="3019"/>
      <c r="H36" s="3019"/>
      <c r="I36" s="3019"/>
      <c r="J36" s="3020"/>
      <c r="K36" s="3018"/>
      <c r="L36" s="3020"/>
      <c r="M36" s="3327"/>
      <c r="N36" s="3024"/>
      <c r="O36" s="3024"/>
      <c r="P36" s="3327"/>
      <c r="Q36" s="3043"/>
      <c r="R36" s="3004"/>
      <c r="S36" s="3005"/>
      <c r="T36" s="3004"/>
      <c r="U36" s="3005"/>
      <c r="V36" s="3020"/>
      <c r="W36" s="3020"/>
    </row>
    <row r="37" spans="1:23" ht="16" thickBot="1" x14ac:dyDescent="0.4">
      <c r="A37" s="972"/>
      <c r="B37" s="2408">
        <v>1</v>
      </c>
      <c r="C37" s="974"/>
      <c r="D37" s="972"/>
      <c r="E37" s="975"/>
      <c r="F37" s="975"/>
      <c r="G37" s="2408">
        <v>2</v>
      </c>
      <c r="H37" s="975"/>
      <c r="I37" s="975"/>
      <c r="J37" s="974"/>
      <c r="K37" s="3008">
        <v>3</v>
      </c>
      <c r="L37" s="3009"/>
      <c r="M37" s="2384"/>
      <c r="N37" s="2384"/>
      <c r="O37" s="2384"/>
      <c r="P37" s="2384"/>
      <c r="Q37" s="879"/>
      <c r="R37" s="3010">
        <v>3</v>
      </c>
      <c r="S37" s="3011"/>
      <c r="T37" s="3010">
        <v>3</v>
      </c>
      <c r="U37" s="3011"/>
      <c r="V37" s="2409">
        <v>4</v>
      </c>
      <c r="W37" s="2409">
        <v>5</v>
      </c>
    </row>
    <row r="38" spans="1:23" ht="15.65" customHeight="1" x14ac:dyDescent="0.25">
      <c r="A38" s="3025" t="s">
        <v>642</v>
      </c>
      <c r="B38" s="3026"/>
      <c r="C38" s="3027"/>
      <c r="D38" s="3031" t="s">
        <v>643</v>
      </c>
      <c r="E38" s="3032"/>
      <c r="F38" s="3032"/>
      <c r="G38" s="3032"/>
      <c r="H38" s="3032"/>
      <c r="I38" s="3032"/>
      <c r="J38" s="3033"/>
      <c r="K38" s="3317">
        <f>K40+K44+K47+K51+K57+K63+K82+K88+K100+K104</f>
        <v>85188.81</v>
      </c>
      <c r="L38" s="3318"/>
      <c r="M38" s="3321">
        <v>17235.358</v>
      </c>
      <c r="N38" s="3321"/>
      <c r="O38" s="3321"/>
      <c r="P38" s="3321">
        <f>P40+P51+P57+P63+P82+P88+P104</f>
        <v>24432.394</v>
      </c>
      <c r="Q38" s="3321">
        <v>20829</v>
      </c>
      <c r="R38" s="3322">
        <f>R40+R51+R57+R63+R82+R88+R104+R47+R44+R100</f>
        <v>73575.200000000012</v>
      </c>
      <c r="S38" s="3323"/>
      <c r="T38" s="3322">
        <f>T40+T51+T57+T63+T82+T88+T104+T47+T44+T100</f>
        <v>75638.700000000012</v>
      </c>
      <c r="U38" s="3323"/>
      <c r="V38" s="3318">
        <f>V40+V44+V47+V51+V57+V63+V82+V88+V100+V104</f>
        <v>84900.10000000002</v>
      </c>
      <c r="W38" s="3318">
        <f>W40+W44+W47+W51+W57+W63+W82+W88+W100+W104</f>
        <v>89121.2</v>
      </c>
    </row>
    <row r="39" spans="1:23" ht="13.9" customHeight="1" thickBot="1" x14ac:dyDescent="0.3">
      <c r="A39" s="3028"/>
      <c r="B39" s="3029"/>
      <c r="C39" s="3030"/>
      <c r="D39" s="3034"/>
      <c r="E39" s="3035"/>
      <c r="F39" s="3035"/>
      <c r="G39" s="3035"/>
      <c r="H39" s="3035"/>
      <c r="I39" s="3035"/>
      <c r="J39" s="3036"/>
      <c r="K39" s="3319"/>
      <c r="L39" s="3320"/>
      <c r="M39" s="3321"/>
      <c r="N39" s="3321"/>
      <c r="O39" s="3321"/>
      <c r="P39" s="3321"/>
      <c r="Q39" s="3321"/>
      <c r="R39" s="3324"/>
      <c r="S39" s="3325"/>
      <c r="T39" s="3324"/>
      <c r="U39" s="3325"/>
      <c r="V39" s="3320"/>
      <c r="W39" s="3320"/>
    </row>
    <row r="40" spans="1:23" ht="15" x14ac:dyDescent="0.3">
      <c r="A40" s="976" t="s">
        <v>644</v>
      </c>
      <c r="B40" s="977"/>
      <c r="C40" s="978"/>
      <c r="D40" s="3031" t="s">
        <v>645</v>
      </c>
      <c r="E40" s="3032"/>
      <c r="F40" s="3032"/>
      <c r="G40" s="3032"/>
      <c r="H40" s="3032"/>
      <c r="I40" s="3032"/>
      <c r="J40" s="3033"/>
      <c r="K40" s="3317">
        <f>K42</f>
        <v>40483.599999999999</v>
      </c>
      <c r="L40" s="3318"/>
      <c r="M40" s="3321">
        <v>4523.7</v>
      </c>
      <c r="N40" s="3321"/>
      <c r="O40" s="3321"/>
      <c r="P40" s="3321">
        <f>P42</f>
        <v>5592.7</v>
      </c>
      <c r="Q40" s="3329">
        <v>4938.4639999999999</v>
      </c>
      <c r="R40" s="3322">
        <f>R42</f>
        <v>25200</v>
      </c>
      <c r="S40" s="3323"/>
      <c r="T40" s="3322">
        <f>T42</f>
        <v>26208</v>
      </c>
      <c r="U40" s="3323"/>
      <c r="V40" s="3318">
        <f>V42</f>
        <v>43034.1</v>
      </c>
      <c r="W40" s="3318">
        <f>W42</f>
        <v>46046.5</v>
      </c>
    </row>
    <row r="41" spans="1:23" thickBot="1" x14ac:dyDescent="0.35">
      <c r="A41" s="979" t="s">
        <v>646</v>
      </c>
      <c r="B41" s="980"/>
      <c r="C41" s="981"/>
      <c r="D41" s="3034"/>
      <c r="E41" s="3035"/>
      <c r="F41" s="3035"/>
      <c r="G41" s="3035"/>
      <c r="H41" s="3035"/>
      <c r="I41" s="3035"/>
      <c r="J41" s="3036"/>
      <c r="K41" s="3319"/>
      <c r="L41" s="3320"/>
      <c r="M41" s="3321"/>
      <c r="N41" s="3321"/>
      <c r="O41" s="3321"/>
      <c r="P41" s="3321"/>
      <c r="Q41" s="3329"/>
      <c r="R41" s="3324"/>
      <c r="S41" s="3325"/>
      <c r="T41" s="3324"/>
      <c r="U41" s="3325"/>
      <c r="V41" s="3320"/>
      <c r="W41" s="3320"/>
    </row>
    <row r="42" spans="1:23" x14ac:dyDescent="0.35">
      <c r="A42" s="3012" t="s">
        <v>647</v>
      </c>
      <c r="B42" s="3013"/>
      <c r="C42" s="3014"/>
      <c r="D42" s="982"/>
      <c r="E42" s="983"/>
      <c r="F42" s="983"/>
      <c r="G42" s="983"/>
      <c r="H42" s="983"/>
      <c r="I42" s="983"/>
      <c r="J42" s="984"/>
      <c r="K42" s="3341">
        <v>40483.599999999999</v>
      </c>
      <c r="L42" s="3334"/>
      <c r="M42" s="3321">
        <v>4523.7</v>
      </c>
      <c r="N42" s="3321">
        <v>534.5</v>
      </c>
      <c r="O42" s="3321">
        <v>534.5</v>
      </c>
      <c r="P42" s="3321">
        <f>M42+N42+O42</f>
        <v>5592.7</v>
      </c>
      <c r="Q42" s="3329">
        <v>4938.4639999999999</v>
      </c>
      <c r="R42" s="3330">
        <v>25200</v>
      </c>
      <c r="S42" s="3331"/>
      <c r="T42" s="3330">
        <v>26208</v>
      </c>
      <c r="U42" s="3331"/>
      <c r="V42" s="3334">
        <v>43034.1</v>
      </c>
      <c r="W42" s="3334">
        <v>46046.5</v>
      </c>
    </row>
    <row r="43" spans="1:23" ht="16" thickBot="1" x14ac:dyDescent="0.4">
      <c r="A43" s="3006"/>
      <c r="B43" s="2999"/>
      <c r="C43" s="3007"/>
      <c r="D43" s="985" t="s">
        <v>648</v>
      </c>
      <c r="E43" s="986"/>
      <c r="F43" s="986"/>
      <c r="G43" s="986"/>
      <c r="H43" s="986"/>
      <c r="I43" s="986"/>
      <c r="J43" s="987"/>
      <c r="K43" s="3342"/>
      <c r="L43" s="3335"/>
      <c r="M43" s="3321"/>
      <c r="N43" s="3321"/>
      <c r="O43" s="3321"/>
      <c r="P43" s="3321"/>
      <c r="Q43" s="3329"/>
      <c r="R43" s="3332"/>
      <c r="S43" s="3333"/>
      <c r="T43" s="3332"/>
      <c r="U43" s="3333"/>
      <c r="V43" s="3335"/>
      <c r="W43" s="3335"/>
    </row>
    <row r="44" spans="1:23" ht="15.65" customHeight="1" x14ac:dyDescent="0.25">
      <c r="A44" s="3063" t="s">
        <v>649</v>
      </c>
      <c r="B44" s="3064"/>
      <c r="C44" s="3065"/>
      <c r="D44" s="3274" t="s">
        <v>650</v>
      </c>
      <c r="E44" s="3275"/>
      <c r="F44" s="3275"/>
      <c r="G44" s="3275"/>
      <c r="H44" s="3275"/>
      <c r="I44" s="3275"/>
      <c r="J44" s="3276"/>
      <c r="K44" s="3317">
        <f>K46</f>
        <v>948.3</v>
      </c>
      <c r="L44" s="3318"/>
      <c r="M44" s="3321">
        <v>9794</v>
      </c>
      <c r="N44" s="3321"/>
      <c r="O44" s="3321"/>
      <c r="P44" s="3321" t="e">
        <f>#REF!+P47+P48</f>
        <v>#REF!</v>
      </c>
      <c r="Q44" s="3329">
        <v>12087.288329999999</v>
      </c>
      <c r="R44" s="3322">
        <f>R46</f>
        <v>0</v>
      </c>
      <c r="S44" s="3323"/>
      <c r="T44" s="3322">
        <f>T46</f>
        <v>0</v>
      </c>
      <c r="U44" s="3323"/>
      <c r="V44" s="3318">
        <f>V46</f>
        <v>948.3</v>
      </c>
      <c r="W44" s="3318">
        <f>W46</f>
        <v>948.3</v>
      </c>
    </row>
    <row r="45" spans="1:23" ht="16.149999999999999" customHeight="1" thickBot="1" x14ac:dyDescent="0.3">
      <c r="A45" s="3066"/>
      <c r="B45" s="3067"/>
      <c r="C45" s="3068"/>
      <c r="D45" s="3277"/>
      <c r="E45" s="3278"/>
      <c r="F45" s="3278"/>
      <c r="G45" s="3278"/>
      <c r="H45" s="3278"/>
      <c r="I45" s="3278"/>
      <c r="J45" s="3279"/>
      <c r="K45" s="3319"/>
      <c r="L45" s="3320"/>
      <c r="M45" s="3321"/>
      <c r="N45" s="3321"/>
      <c r="O45" s="3321"/>
      <c r="P45" s="3321"/>
      <c r="Q45" s="3329"/>
      <c r="R45" s="3324"/>
      <c r="S45" s="3325"/>
      <c r="T45" s="3324"/>
      <c r="U45" s="3325"/>
      <c r="V45" s="3320"/>
      <c r="W45" s="3320"/>
    </row>
    <row r="46" spans="1:23" ht="31.15" customHeight="1" thickBot="1" x14ac:dyDescent="0.4">
      <c r="A46" s="3049" t="s">
        <v>651</v>
      </c>
      <c r="B46" s="3050"/>
      <c r="C46" s="3051"/>
      <c r="D46" s="3336" t="s">
        <v>652</v>
      </c>
      <c r="E46" s="3337"/>
      <c r="F46" s="3337"/>
      <c r="G46" s="3337"/>
      <c r="H46" s="3337"/>
      <c r="I46" s="3337"/>
      <c r="J46" s="3338"/>
      <c r="K46" s="3313">
        <v>948.3</v>
      </c>
      <c r="L46" s="3314"/>
      <c r="M46" s="2448">
        <v>124</v>
      </c>
      <c r="N46" s="2448"/>
      <c r="O46" s="2448"/>
      <c r="P46" s="2448">
        <f>M46+N46+O46</f>
        <v>124</v>
      </c>
      <c r="Q46" s="2449">
        <v>206.22337999999999</v>
      </c>
      <c r="R46" s="3339"/>
      <c r="S46" s="3340"/>
      <c r="T46" s="3339"/>
      <c r="U46" s="3340"/>
      <c r="V46" s="2450">
        <v>948.3</v>
      </c>
      <c r="W46" s="2450">
        <v>948.3</v>
      </c>
    </row>
    <row r="47" spans="1:23" ht="15.65" customHeight="1" x14ac:dyDescent="0.25">
      <c r="A47" s="3063" t="s">
        <v>653</v>
      </c>
      <c r="B47" s="3064"/>
      <c r="C47" s="3065"/>
      <c r="D47" s="3084" t="s">
        <v>654</v>
      </c>
      <c r="E47" s="3085"/>
      <c r="F47" s="3085"/>
      <c r="G47" s="3085"/>
      <c r="H47" s="3085"/>
      <c r="I47" s="3085"/>
      <c r="J47" s="3086"/>
      <c r="K47" s="3317">
        <f>K50</f>
        <v>509</v>
      </c>
      <c r="L47" s="3318"/>
      <c r="M47" s="3321">
        <v>9794</v>
      </c>
      <c r="N47" s="3321"/>
      <c r="O47" s="3321"/>
      <c r="P47" s="3321">
        <f>P50+P51+P52</f>
        <v>15318</v>
      </c>
      <c r="Q47" s="3329">
        <v>12087.288329999999</v>
      </c>
      <c r="R47" s="3322">
        <f>R50</f>
        <v>75.8</v>
      </c>
      <c r="S47" s="3323"/>
      <c r="T47" s="3322">
        <f>T50</f>
        <v>80</v>
      </c>
      <c r="U47" s="3323"/>
      <c r="V47" s="3318">
        <f>V50</f>
        <v>529</v>
      </c>
      <c r="W47" s="3318">
        <f>W50</f>
        <v>550.20000000000005</v>
      </c>
    </row>
    <row r="48" spans="1:23" ht="16.149999999999999" customHeight="1" thickBot="1" x14ac:dyDescent="0.3">
      <c r="A48" s="3066"/>
      <c r="B48" s="3067"/>
      <c r="C48" s="3068"/>
      <c r="D48" s="3087"/>
      <c r="E48" s="3088"/>
      <c r="F48" s="3088"/>
      <c r="G48" s="3088"/>
      <c r="H48" s="3088"/>
      <c r="I48" s="3088"/>
      <c r="J48" s="3089"/>
      <c r="K48" s="3319"/>
      <c r="L48" s="3320"/>
      <c r="M48" s="3321"/>
      <c r="N48" s="3321"/>
      <c r="O48" s="3321"/>
      <c r="P48" s="3321"/>
      <c r="Q48" s="3329"/>
      <c r="R48" s="3324"/>
      <c r="S48" s="3325"/>
      <c r="T48" s="3324"/>
      <c r="U48" s="3325"/>
      <c r="V48" s="3320"/>
      <c r="W48" s="3320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2451"/>
      <c r="L49" s="2452"/>
      <c r="M49" s="2453"/>
      <c r="N49" s="2453"/>
      <c r="O49" s="2453"/>
      <c r="P49" s="2453"/>
      <c r="Q49" s="2454"/>
      <c r="R49" s="2455"/>
      <c r="S49" s="2456"/>
      <c r="T49" s="2455"/>
      <c r="U49" s="2456"/>
      <c r="V49" s="2452"/>
      <c r="W49" s="2452"/>
    </row>
    <row r="50" spans="1:23" ht="16" thickBot="1" x14ac:dyDescent="0.4">
      <c r="A50" s="3008" t="s">
        <v>655</v>
      </c>
      <c r="B50" s="3080"/>
      <c r="C50" s="3009"/>
      <c r="D50" s="3081" t="s">
        <v>656</v>
      </c>
      <c r="E50" s="3082"/>
      <c r="F50" s="3082"/>
      <c r="G50" s="3082"/>
      <c r="H50" s="3082"/>
      <c r="I50" s="3082"/>
      <c r="J50" s="3083"/>
      <c r="K50" s="3313">
        <v>509</v>
      </c>
      <c r="L50" s="3314"/>
      <c r="M50" s="2448">
        <v>124</v>
      </c>
      <c r="N50" s="2448"/>
      <c r="O50" s="2448"/>
      <c r="P50" s="2448">
        <f>M50+N50+O50</f>
        <v>124</v>
      </c>
      <c r="Q50" s="2449">
        <v>206.22337999999999</v>
      </c>
      <c r="R50" s="3339">
        <v>75.8</v>
      </c>
      <c r="S50" s="3340"/>
      <c r="T50" s="3339">
        <v>80</v>
      </c>
      <c r="U50" s="3340"/>
      <c r="V50" s="2450">
        <v>529</v>
      </c>
      <c r="W50" s="2450">
        <v>550.20000000000005</v>
      </c>
    </row>
    <row r="51" spans="1:23" ht="15.65" customHeight="1" x14ac:dyDescent="0.25">
      <c r="A51" s="3063" t="s">
        <v>657</v>
      </c>
      <c r="B51" s="3064"/>
      <c r="C51" s="3065"/>
      <c r="D51" s="3084" t="s">
        <v>658</v>
      </c>
      <c r="E51" s="3085"/>
      <c r="F51" s="3085"/>
      <c r="G51" s="3085"/>
      <c r="H51" s="3085"/>
      <c r="I51" s="3085"/>
      <c r="J51" s="3086"/>
      <c r="K51" s="3317">
        <f>K54+K56+K55</f>
        <v>38393.5</v>
      </c>
      <c r="L51" s="3318"/>
      <c r="M51" s="3321">
        <v>9794</v>
      </c>
      <c r="N51" s="3321"/>
      <c r="O51" s="3321"/>
      <c r="P51" s="3321">
        <f>P54+P55+P56</f>
        <v>15194</v>
      </c>
      <c r="Q51" s="3329">
        <v>12087.288329999999</v>
      </c>
      <c r="R51" s="3322">
        <f>R54+R56+R55</f>
        <v>44797.8</v>
      </c>
      <c r="S51" s="3323"/>
      <c r="T51" s="3322">
        <f>T54+T56+T55</f>
        <v>46588.6</v>
      </c>
      <c r="U51" s="3323"/>
      <c r="V51" s="3318">
        <f>V54+V56</f>
        <v>38251.300000000003</v>
      </c>
      <c r="W51" s="3318">
        <f>W54+W56</f>
        <v>39376.800000000003</v>
      </c>
    </row>
    <row r="52" spans="1:23" ht="16.149999999999999" customHeight="1" thickBot="1" x14ac:dyDescent="0.3">
      <c r="A52" s="3066"/>
      <c r="B52" s="3067"/>
      <c r="C52" s="3068"/>
      <c r="D52" s="3087"/>
      <c r="E52" s="3088"/>
      <c r="F52" s="3088"/>
      <c r="G52" s="3088"/>
      <c r="H52" s="3088"/>
      <c r="I52" s="3088"/>
      <c r="J52" s="3089"/>
      <c r="K52" s="3319"/>
      <c r="L52" s="3320"/>
      <c r="M52" s="3321"/>
      <c r="N52" s="3321"/>
      <c r="O52" s="3321"/>
      <c r="P52" s="3321"/>
      <c r="Q52" s="3329"/>
      <c r="R52" s="3324"/>
      <c r="S52" s="3325"/>
      <c r="T52" s="3324"/>
      <c r="U52" s="3325"/>
      <c r="V52" s="3320"/>
      <c r="W52" s="3320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2451"/>
      <c r="L53" s="2452"/>
      <c r="M53" s="2453"/>
      <c r="N53" s="2453"/>
      <c r="O53" s="2453"/>
      <c r="P53" s="2453"/>
      <c r="Q53" s="2454"/>
      <c r="R53" s="2455"/>
      <c r="S53" s="2456"/>
      <c r="T53" s="2455"/>
      <c r="U53" s="2456"/>
      <c r="V53" s="2452"/>
      <c r="W53" s="2452"/>
    </row>
    <row r="54" spans="1:23" ht="16" thickBot="1" x14ac:dyDescent="0.4">
      <c r="A54" s="3008" t="s">
        <v>659</v>
      </c>
      <c r="B54" s="3080"/>
      <c r="C54" s="3009"/>
      <c r="D54" s="972" t="s">
        <v>660</v>
      </c>
      <c r="E54" s="975"/>
      <c r="F54" s="975"/>
      <c r="G54" s="975"/>
      <c r="H54" s="975"/>
      <c r="I54" s="975"/>
      <c r="J54" s="974"/>
      <c r="K54" s="3313">
        <v>5637</v>
      </c>
      <c r="L54" s="3314"/>
      <c r="M54" s="2448">
        <v>124</v>
      </c>
      <c r="N54" s="2448"/>
      <c r="O54" s="2448"/>
      <c r="P54" s="2448">
        <f>M54+N54+O54</f>
        <v>124</v>
      </c>
      <c r="Q54" s="2449">
        <v>206.22337999999999</v>
      </c>
      <c r="R54" s="3339">
        <v>3816</v>
      </c>
      <c r="S54" s="3340"/>
      <c r="T54" s="3339">
        <v>3968.6</v>
      </c>
      <c r="U54" s="3340"/>
      <c r="V54" s="2450">
        <v>5863</v>
      </c>
      <c r="W54" s="2450">
        <v>6097</v>
      </c>
    </row>
    <row r="55" spans="1:23" ht="15.65" hidden="1" customHeight="1" x14ac:dyDescent="0.35">
      <c r="A55" s="3008" t="s">
        <v>661</v>
      </c>
      <c r="B55" s="3080"/>
      <c r="C55" s="3009"/>
      <c r="D55" s="996" t="s">
        <v>662</v>
      </c>
      <c r="E55" s="997"/>
      <c r="F55" s="997"/>
      <c r="G55" s="997"/>
      <c r="H55" s="997"/>
      <c r="I55" s="997"/>
      <c r="J55" s="998"/>
      <c r="K55" s="3055"/>
      <c r="L55" s="3056"/>
      <c r="M55" s="2416">
        <v>1970</v>
      </c>
      <c r="N55" s="2416">
        <v>700</v>
      </c>
      <c r="O55" s="2416">
        <v>700</v>
      </c>
      <c r="P55" s="2416">
        <f>M55+N55+O55</f>
        <v>3370</v>
      </c>
      <c r="Q55" s="2411">
        <v>2811.7408799999998</v>
      </c>
      <c r="R55" s="3057">
        <v>9783.7999999999993</v>
      </c>
      <c r="S55" s="3058"/>
      <c r="T55" s="3057">
        <v>10175</v>
      </c>
      <c r="U55" s="3058"/>
      <c r="V55" s="2410"/>
      <c r="W55" s="2410"/>
    </row>
    <row r="56" spans="1:23" ht="16" thickBot="1" x14ac:dyDescent="0.4">
      <c r="A56" s="3008" t="s">
        <v>663</v>
      </c>
      <c r="B56" s="3080"/>
      <c r="C56" s="3009"/>
      <c r="D56" s="972" t="s">
        <v>664</v>
      </c>
      <c r="E56" s="975"/>
      <c r="F56" s="975"/>
      <c r="G56" s="975"/>
      <c r="H56" s="975"/>
      <c r="I56" s="975"/>
      <c r="J56" s="974"/>
      <c r="K56" s="3055">
        <f>31820.9+935.6</f>
        <v>32756.5</v>
      </c>
      <c r="L56" s="3056"/>
      <c r="M56" s="2416">
        <v>7700</v>
      </c>
      <c r="N56" s="2416">
        <v>2000</v>
      </c>
      <c r="O56" s="2416">
        <v>2000</v>
      </c>
      <c r="P56" s="2416">
        <f>M56+N56+O56</f>
        <v>11700</v>
      </c>
      <c r="Q56" s="2411">
        <v>9069.3240700000006</v>
      </c>
      <c r="R56" s="3057">
        <v>31198</v>
      </c>
      <c r="S56" s="3058"/>
      <c r="T56" s="3057">
        <v>32445</v>
      </c>
      <c r="U56" s="3058"/>
      <c r="V56" s="2410">
        <v>32388.3</v>
      </c>
      <c r="W56" s="2410">
        <v>33279.800000000003</v>
      </c>
    </row>
    <row r="57" spans="1:23" ht="15.65" customHeight="1" x14ac:dyDescent="0.25">
      <c r="A57" s="3063" t="s">
        <v>665</v>
      </c>
      <c r="B57" s="3064"/>
      <c r="C57" s="3065"/>
      <c r="D57" s="3084" t="s">
        <v>666</v>
      </c>
      <c r="E57" s="3085"/>
      <c r="F57" s="3085"/>
      <c r="G57" s="3085"/>
      <c r="H57" s="3085"/>
      <c r="I57" s="3085"/>
      <c r="J57" s="3086"/>
      <c r="K57" s="3317">
        <f>K59</f>
        <v>5</v>
      </c>
      <c r="L57" s="3318"/>
      <c r="M57" s="3321">
        <v>17</v>
      </c>
      <c r="N57" s="3321"/>
      <c r="O57" s="3321"/>
      <c r="P57" s="3321">
        <f>M57+N57+O57</f>
        <v>17</v>
      </c>
      <c r="Q57" s="3321">
        <v>3.9649999999999999</v>
      </c>
      <c r="R57" s="3322">
        <f>R59</f>
        <v>8</v>
      </c>
      <c r="S57" s="3323"/>
      <c r="T57" s="3322">
        <f>T59</f>
        <v>10</v>
      </c>
      <c r="U57" s="3323"/>
      <c r="V57" s="3318">
        <f>V59</f>
        <v>7</v>
      </c>
      <c r="W57" s="3318">
        <f>W59</f>
        <v>10</v>
      </c>
    </row>
    <row r="58" spans="1:23" ht="13.9" customHeight="1" thickBot="1" x14ac:dyDescent="0.3">
      <c r="A58" s="3066"/>
      <c r="B58" s="3067"/>
      <c r="C58" s="3068"/>
      <c r="D58" s="3087"/>
      <c r="E58" s="3088"/>
      <c r="F58" s="3088"/>
      <c r="G58" s="3088"/>
      <c r="H58" s="3088"/>
      <c r="I58" s="3088"/>
      <c r="J58" s="3089"/>
      <c r="K58" s="3319"/>
      <c r="L58" s="3320"/>
      <c r="M58" s="3321"/>
      <c r="N58" s="3321"/>
      <c r="O58" s="3321"/>
      <c r="P58" s="3321"/>
      <c r="Q58" s="3321"/>
      <c r="R58" s="3324"/>
      <c r="S58" s="3325"/>
      <c r="T58" s="3324"/>
      <c r="U58" s="3325"/>
      <c r="V58" s="3320"/>
      <c r="W58" s="3320"/>
    </row>
    <row r="59" spans="1:23" x14ac:dyDescent="0.35">
      <c r="A59" s="3015" t="s">
        <v>667</v>
      </c>
      <c r="B59" s="3016"/>
      <c r="C59" s="3017"/>
      <c r="D59" s="982" t="s">
        <v>668</v>
      </c>
      <c r="E59" s="983"/>
      <c r="F59" s="983"/>
      <c r="G59" s="983"/>
      <c r="H59" s="983"/>
      <c r="I59" s="983"/>
      <c r="J59" s="983"/>
      <c r="K59" s="3341">
        <v>5</v>
      </c>
      <c r="L59" s="3334"/>
      <c r="M59" s="3321">
        <v>17</v>
      </c>
      <c r="N59" s="3321"/>
      <c r="O59" s="3321"/>
      <c r="P59" s="3321">
        <f>M59+N59+O59</f>
        <v>17</v>
      </c>
      <c r="Q59" s="3321">
        <v>3.9649999999999999</v>
      </c>
      <c r="R59" s="3330">
        <v>8</v>
      </c>
      <c r="S59" s="3331"/>
      <c r="T59" s="3330">
        <v>10</v>
      </c>
      <c r="U59" s="3331"/>
      <c r="V59" s="3334">
        <v>7</v>
      </c>
      <c r="W59" s="3334">
        <v>10</v>
      </c>
    </row>
    <row r="60" spans="1:23" x14ac:dyDescent="0.35">
      <c r="A60" s="3094"/>
      <c r="B60" s="3095"/>
      <c r="C60" s="3096"/>
      <c r="D60" s="996" t="s">
        <v>669</v>
      </c>
      <c r="E60" s="997"/>
      <c r="F60" s="997"/>
      <c r="G60" s="997"/>
      <c r="H60" s="997"/>
      <c r="I60" s="997"/>
      <c r="J60" s="997"/>
      <c r="K60" s="3349"/>
      <c r="L60" s="3350"/>
      <c r="M60" s="3321"/>
      <c r="N60" s="3321"/>
      <c r="O60" s="3321"/>
      <c r="P60" s="3321"/>
      <c r="Q60" s="3321"/>
      <c r="R60" s="3353"/>
      <c r="S60" s="3354"/>
      <c r="T60" s="3353"/>
      <c r="U60" s="3354"/>
      <c r="V60" s="3350"/>
      <c r="W60" s="3350"/>
    </row>
    <row r="61" spans="1:23" x14ac:dyDescent="0.35">
      <c r="A61" s="3094"/>
      <c r="B61" s="3095"/>
      <c r="C61" s="3096"/>
      <c r="D61" s="996" t="s">
        <v>670</v>
      </c>
      <c r="E61" s="997"/>
      <c r="F61" s="997"/>
      <c r="G61" s="997"/>
      <c r="H61" s="997"/>
      <c r="I61" s="997"/>
      <c r="J61" s="997"/>
      <c r="K61" s="3349"/>
      <c r="L61" s="3350"/>
      <c r="M61" s="3321"/>
      <c r="N61" s="3321"/>
      <c r="O61" s="3321"/>
      <c r="P61" s="3321"/>
      <c r="Q61" s="3321"/>
      <c r="R61" s="3353"/>
      <c r="S61" s="3354"/>
      <c r="T61" s="3353"/>
      <c r="U61" s="3354"/>
      <c r="V61" s="3350"/>
      <c r="W61" s="3350"/>
    </row>
    <row r="62" spans="1:23" ht="16" thickBot="1" x14ac:dyDescent="0.4">
      <c r="A62" s="3018"/>
      <c r="B62" s="3019"/>
      <c r="C62" s="3020"/>
      <c r="D62" s="985" t="s">
        <v>671</v>
      </c>
      <c r="E62" s="986"/>
      <c r="F62" s="986"/>
      <c r="G62" s="986"/>
      <c r="H62" s="986"/>
      <c r="I62" s="986"/>
      <c r="J62" s="986"/>
      <c r="K62" s="3342"/>
      <c r="L62" s="3335"/>
      <c r="M62" s="3321"/>
      <c r="N62" s="3321"/>
      <c r="O62" s="3321"/>
      <c r="P62" s="3321"/>
      <c r="Q62" s="3321"/>
      <c r="R62" s="3332"/>
      <c r="S62" s="3333"/>
      <c r="T62" s="3332"/>
      <c r="U62" s="3333"/>
      <c r="V62" s="3335"/>
      <c r="W62" s="3335"/>
    </row>
    <row r="63" spans="1:23" ht="15" x14ac:dyDescent="0.3">
      <c r="A63" s="3063" t="s">
        <v>672</v>
      </c>
      <c r="B63" s="3064"/>
      <c r="C63" s="3065"/>
      <c r="D63" s="976" t="s">
        <v>673</v>
      </c>
      <c r="E63" s="977"/>
      <c r="F63" s="977"/>
      <c r="G63" s="977"/>
      <c r="H63" s="977"/>
      <c r="I63" s="977"/>
      <c r="J63" s="978"/>
      <c r="K63" s="3343">
        <f>K66+K70+K78+K74</f>
        <v>1907.3000000000002</v>
      </c>
      <c r="L63" s="3344"/>
      <c r="M63" s="3321">
        <v>2183.6579999999999</v>
      </c>
      <c r="N63" s="3321"/>
      <c r="O63" s="3321"/>
      <c r="P63" s="3321">
        <f>P66+P70+P78</f>
        <v>2913.6940000000004</v>
      </c>
      <c r="Q63" s="3321">
        <v>2859.2967100000001</v>
      </c>
      <c r="R63" s="3322">
        <f>R66+R70+R78+R74</f>
        <v>1933</v>
      </c>
      <c r="S63" s="3323"/>
      <c r="T63" s="3322">
        <f>T66+T70+T78+T74</f>
        <v>1975</v>
      </c>
      <c r="U63" s="3323"/>
      <c r="V63" s="3344">
        <f>V74+V78</f>
        <v>1986.8000000000002</v>
      </c>
      <c r="W63" s="3344">
        <f>W74+W78</f>
        <v>2037.5</v>
      </c>
    </row>
    <row r="64" spans="1:23" ht="15" x14ac:dyDescent="0.3">
      <c r="A64" s="3101"/>
      <c r="B64" s="3102"/>
      <c r="C64" s="3103"/>
      <c r="D64" s="999" t="s">
        <v>674</v>
      </c>
      <c r="E64" s="1000"/>
      <c r="F64" s="1000"/>
      <c r="G64" s="1000"/>
      <c r="H64" s="1000"/>
      <c r="I64" s="1000"/>
      <c r="J64" s="1001"/>
      <c r="K64" s="3345"/>
      <c r="L64" s="3346"/>
      <c r="M64" s="3321"/>
      <c r="N64" s="3321"/>
      <c r="O64" s="3321"/>
      <c r="P64" s="3321"/>
      <c r="Q64" s="3321"/>
      <c r="R64" s="3351"/>
      <c r="S64" s="3352"/>
      <c r="T64" s="3351"/>
      <c r="U64" s="3352"/>
      <c r="V64" s="3346"/>
      <c r="W64" s="3346"/>
    </row>
    <row r="65" spans="1:23" thickBot="1" x14ac:dyDescent="0.35">
      <c r="A65" s="3066"/>
      <c r="B65" s="3067"/>
      <c r="C65" s="3068"/>
      <c r="D65" s="979" t="s">
        <v>675</v>
      </c>
      <c r="E65" s="980"/>
      <c r="F65" s="980"/>
      <c r="G65" s="980"/>
      <c r="H65" s="980"/>
      <c r="I65" s="980"/>
      <c r="J65" s="981"/>
      <c r="K65" s="3347"/>
      <c r="L65" s="3348"/>
      <c r="M65" s="3321"/>
      <c r="N65" s="3321"/>
      <c r="O65" s="3321"/>
      <c r="P65" s="3321"/>
      <c r="Q65" s="3321"/>
      <c r="R65" s="3324"/>
      <c r="S65" s="3325"/>
      <c r="T65" s="3324"/>
      <c r="U65" s="3325"/>
      <c r="V65" s="3348"/>
      <c r="W65" s="3348"/>
    </row>
    <row r="66" spans="1:23" ht="15.65" hidden="1" customHeight="1" x14ac:dyDescent="0.35">
      <c r="A66" s="3015" t="s">
        <v>676</v>
      </c>
      <c r="B66" s="3016"/>
      <c r="C66" s="3017"/>
      <c r="D66" s="982" t="s">
        <v>677</v>
      </c>
      <c r="E66" s="983"/>
      <c r="F66" s="983"/>
      <c r="G66" s="983"/>
      <c r="H66" s="983"/>
      <c r="I66" s="983"/>
      <c r="J66" s="984"/>
      <c r="K66" s="3355"/>
      <c r="L66" s="3356"/>
      <c r="M66" s="3321">
        <v>1030</v>
      </c>
      <c r="N66" s="3321">
        <v>140</v>
      </c>
      <c r="O66" s="3321">
        <v>140</v>
      </c>
      <c r="P66" s="3321">
        <f>M66+N66+O66</f>
        <v>1310</v>
      </c>
      <c r="Q66" s="3321">
        <v>1430.7293099999999</v>
      </c>
      <c r="R66" s="3361"/>
      <c r="S66" s="3362"/>
      <c r="T66" s="3361"/>
      <c r="U66" s="3362"/>
      <c r="V66" s="3356"/>
      <c r="W66" s="3356"/>
    </row>
    <row r="67" spans="1:23" ht="15.65" hidden="1" customHeight="1" x14ac:dyDescent="0.35">
      <c r="A67" s="3094"/>
      <c r="B67" s="3095"/>
      <c r="C67" s="3096"/>
      <c r="D67" s="996" t="s">
        <v>678</v>
      </c>
      <c r="E67" s="997"/>
      <c r="F67" s="997"/>
      <c r="G67" s="997"/>
      <c r="H67" s="997"/>
      <c r="I67" s="997"/>
      <c r="J67" s="998"/>
      <c r="K67" s="3357"/>
      <c r="L67" s="3358"/>
      <c r="M67" s="3321"/>
      <c r="N67" s="3321"/>
      <c r="O67" s="3321"/>
      <c r="P67" s="3321"/>
      <c r="Q67" s="3321"/>
      <c r="R67" s="3363"/>
      <c r="S67" s="3364"/>
      <c r="T67" s="3363"/>
      <c r="U67" s="3364"/>
      <c r="V67" s="3358"/>
      <c r="W67" s="3358"/>
    </row>
    <row r="68" spans="1:23" ht="15.65" hidden="1" customHeight="1" x14ac:dyDescent="0.35">
      <c r="A68" s="3094"/>
      <c r="B68" s="3095"/>
      <c r="C68" s="3096"/>
      <c r="D68" s="996" t="s">
        <v>679</v>
      </c>
      <c r="E68" s="997"/>
      <c r="F68" s="997"/>
      <c r="G68" s="997"/>
      <c r="H68" s="997"/>
      <c r="I68" s="997"/>
      <c r="J68" s="998"/>
      <c r="K68" s="3357"/>
      <c r="L68" s="3358"/>
      <c r="M68" s="3321"/>
      <c r="N68" s="3321"/>
      <c r="O68" s="3321"/>
      <c r="P68" s="3321"/>
      <c r="Q68" s="3321"/>
      <c r="R68" s="3363"/>
      <c r="S68" s="3364"/>
      <c r="T68" s="3363"/>
      <c r="U68" s="3364"/>
      <c r="V68" s="3358"/>
      <c r="W68" s="3358"/>
    </row>
    <row r="69" spans="1:23" ht="15.65" hidden="1" customHeight="1" x14ac:dyDescent="0.35">
      <c r="A69" s="3018"/>
      <c r="B69" s="3019"/>
      <c r="C69" s="3020"/>
      <c r="D69" s="985" t="s">
        <v>680</v>
      </c>
      <c r="E69" s="986"/>
      <c r="F69" s="986"/>
      <c r="G69" s="986"/>
      <c r="H69" s="986"/>
      <c r="I69" s="986"/>
      <c r="J69" s="987"/>
      <c r="K69" s="3359"/>
      <c r="L69" s="3360"/>
      <c r="M69" s="3321"/>
      <c r="N69" s="3321"/>
      <c r="O69" s="3321"/>
      <c r="P69" s="3321"/>
      <c r="Q69" s="3321"/>
      <c r="R69" s="3365"/>
      <c r="S69" s="3366"/>
      <c r="T69" s="3365"/>
      <c r="U69" s="3366"/>
      <c r="V69" s="3360"/>
      <c r="W69" s="3360"/>
    </row>
    <row r="70" spans="1:23" ht="15.65" hidden="1" customHeight="1" x14ac:dyDescent="0.35">
      <c r="A70" s="3015" t="s">
        <v>681</v>
      </c>
      <c r="B70" s="3016"/>
      <c r="C70" s="3017"/>
      <c r="D70" s="982" t="s">
        <v>682</v>
      </c>
      <c r="E70" s="983"/>
      <c r="F70" s="983"/>
      <c r="G70" s="983"/>
      <c r="H70" s="983"/>
      <c r="I70" s="983"/>
      <c r="J70" s="984"/>
      <c r="K70" s="3355"/>
      <c r="L70" s="3356"/>
      <c r="M70" s="3321">
        <v>928.55</v>
      </c>
      <c r="N70" s="3321">
        <v>200</v>
      </c>
      <c r="O70" s="3321">
        <v>200</v>
      </c>
      <c r="P70" s="3321">
        <f>M70+N70+O70</f>
        <v>1328.55</v>
      </c>
      <c r="Q70" s="3321">
        <v>1007.7294000000001</v>
      </c>
      <c r="R70" s="3361"/>
      <c r="S70" s="3362"/>
      <c r="T70" s="3361"/>
      <c r="U70" s="3362"/>
      <c r="V70" s="3356"/>
      <c r="W70" s="3356"/>
    </row>
    <row r="71" spans="1:23" ht="14.25" hidden="1" customHeight="1" x14ac:dyDescent="0.35">
      <c r="A71" s="3094"/>
      <c r="B71" s="3095"/>
      <c r="C71" s="3096"/>
      <c r="D71" s="996" t="s">
        <v>683</v>
      </c>
      <c r="E71" s="997"/>
      <c r="F71" s="997"/>
      <c r="G71" s="997"/>
      <c r="H71" s="997"/>
      <c r="I71" s="997"/>
      <c r="J71" s="998"/>
      <c r="K71" s="3357"/>
      <c r="L71" s="3358"/>
      <c r="M71" s="3321"/>
      <c r="N71" s="3321"/>
      <c r="O71" s="3321"/>
      <c r="P71" s="3321"/>
      <c r="Q71" s="3321"/>
      <c r="R71" s="3363"/>
      <c r="S71" s="3364"/>
      <c r="T71" s="3363"/>
      <c r="U71" s="3364"/>
      <c r="V71" s="3358"/>
      <c r="W71" s="3358"/>
    </row>
    <row r="72" spans="1:23" ht="15.75" hidden="1" customHeight="1" x14ac:dyDescent="0.35">
      <c r="A72" s="3094"/>
      <c r="B72" s="3095"/>
      <c r="C72" s="3096"/>
      <c r="D72" s="996" t="s">
        <v>684</v>
      </c>
      <c r="E72" s="997"/>
      <c r="F72" s="997"/>
      <c r="G72" s="997"/>
      <c r="H72" s="997"/>
      <c r="I72" s="997"/>
      <c r="J72" s="998"/>
      <c r="K72" s="3357"/>
      <c r="L72" s="3358"/>
      <c r="M72" s="3321"/>
      <c r="N72" s="3321"/>
      <c r="O72" s="3321"/>
      <c r="P72" s="3321"/>
      <c r="Q72" s="3321"/>
      <c r="R72" s="3363"/>
      <c r="S72" s="3364"/>
      <c r="T72" s="3363"/>
      <c r="U72" s="3364"/>
      <c r="V72" s="3358"/>
      <c r="W72" s="3358"/>
    </row>
    <row r="73" spans="1:23" ht="15.75" hidden="1" customHeight="1" x14ac:dyDescent="0.35">
      <c r="A73" s="3018"/>
      <c r="B73" s="3019"/>
      <c r="C73" s="3020"/>
      <c r="D73" s="985" t="s">
        <v>685</v>
      </c>
      <c r="E73" s="986"/>
      <c r="F73" s="986"/>
      <c r="G73" s="986"/>
      <c r="H73" s="986"/>
      <c r="I73" s="986"/>
      <c r="J73" s="987"/>
      <c r="K73" s="3359"/>
      <c r="L73" s="3360"/>
      <c r="M73" s="3321"/>
      <c r="N73" s="3321"/>
      <c r="O73" s="3321"/>
      <c r="P73" s="3321"/>
      <c r="Q73" s="3321"/>
      <c r="R73" s="3365"/>
      <c r="S73" s="3366"/>
      <c r="T73" s="3365"/>
      <c r="U73" s="3366"/>
      <c r="V73" s="3360"/>
      <c r="W73" s="3360"/>
    </row>
    <row r="74" spans="1:23" x14ac:dyDescent="0.35">
      <c r="A74" s="3015" t="s">
        <v>686</v>
      </c>
      <c r="B74" s="3016"/>
      <c r="C74" s="3017"/>
      <c r="D74" s="1002"/>
      <c r="E74" s="997"/>
      <c r="F74" s="997"/>
      <c r="G74" s="997"/>
      <c r="H74" s="997"/>
      <c r="I74" s="997"/>
      <c r="J74" s="998"/>
      <c r="K74" s="3341">
        <v>720.4</v>
      </c>
      <c r="L74" s="3334"/>
      <c r="M74" s="3375">
        <v>928.55</v>
      </c>
      <c r="N74" s="3375">
        <v>200</v>
      </c>
      <c r="O74" s="3375">
        <v>200</v>
      </c>
      <c r="P74" s="3375">
        <f>M74+N74+O74</f>
        <v>1328.55</v>
      </c>
      <c r="Q74" s="3375">
        <v>1007.7294000000001</v>
      </c>
      <c r="R74" s="3361">
        <v>1035</v>
      </c>
      <c r="S74" s="3362"/>
      <c r="T74" s="3361">
        <v>1040</v>
      </c>
      <c r="U74" s="3362"/>
      <c r="V74" s="3334">
        <v>720.4</v>
      </c>
      <c r="W74" s="3334">
        <v>720.4</v>
      </c>
    </row>
    <row r="75" spans="1:23" ht="14.25" customHeight="1" x14ac:dyDescent="0.35">
      <c r="A75" s="3094"/>
      <c r="B75" s="3095"/>
      <c r="C75" s="3096"/>
      <c r="D75" s="997" t="s">
        <v>687</v>
      </c>
      <c r="E75" s="997"/>
      <c r="F75" s="997"/>
      <c r="G75" s="997"/>
      <c r="H75" s="997"/>
      <c r="I75" s="997"/>
      <c r="J75" s="998"/>
      <c r="K75" s="3349"/>
      <c r="L75" s="3350"/>
      <c r="M75" s="3375"/>
      <c r="N75" s="3375"/>
      <c r="O75" s="3375"/>
      <c r="P75" s="3375"/>
      <c r="Q75" s="3375"/>
      <c r="R75" s="3363"/>
      <c r="S75" s="3364"/>
      <c r="T75" s="3363"/>
      <c r="U75" s="3364"/>
      <c r="V75" s="3350"/>
      <c r="W75" s="3350"/>
    </row>
    <row r="76" spans="1:23" ht="15.75" customHeight="1" x14ac:dyDescent="0.35">
      <c r="A76" s="3094"/>
      <c r="B76" s="3095"/>
      <c r="C76" s="3096"/>
      <c r="D76" s="997" t="s">
        <v>688</v>
      </c>
      <c r="E76" s="997"/>
      <c r="F76" s="997"/>
      <c r="G76" s="997"/>
      <c r="H76" s="997"/>
      <c r="I76" s="997"/>
      <c r="J76" s="998"/>
      <c r="K76" s="3349"/>
      <c r="L76" s="3350"/>
      <c r="M76" s="3375"/>
      <c r="N76" s="3375"/>
      <c r="O76" s="3375"/>
      <c r="P76" s="3375"/>
      <c r="Q76" s="3375"/>
      <c r="R76" s="3363"/>
      <c r="S76" s="3364"/>
      <c r="T76" s="3363"/>
      <c r="U76" s="3364"/>
      <c r="V76" s="3350"/>
      <c r="W76" s="3350"/>
    </row>
    <row r="77" spans="1:23" ht="15.75" customHeight="1" thickBot="1" x14ac:dyDescent="0.4">
      <c r="A77" s="3018"/>
      <c r="B77" s="3019"/>
      <c r="C77" s="3020"/>
      <c r="D77" s="986"/>
      <c r="E77" s="986"/>
      <c r="F77" s="986"/>
      <c r="G77" s="986"/>
      <c r="H77" s="986"/>
      <c r="I77" s="986"/>
      <c r="J77" s="987"/>
      <c r="K77" s="3342"/>
      <c r="L77" s="3335"/>
      <c r="M77" s="3375"/>
      <c r="N77" s="3375"/>
      <c r="O77" s="3375"/>
      <c r="P77" s="3375"/>
      <c r="Q77" s="3375"/>
      <c r="R77" s="3365"/>
      <c r="S77" s="3366"/>
      <c r="T77" s="3365"/>
      <c r="U77" s="3366"/>
      <c r="V77" s="3335"/>
      <c r="W77" s="3335"/>
    </row>
    <row r="78" spans="1:23" ht="15" customHeight="1" x14ac:dyDescent="0.35">
      <c r="A78" s="3015" t="s">
        <v>689</v>
      </c>
      <c r="B78" s="3016"/>
      <c r="C78" s="3017"/>
      <c r="D78" s="982" t="s">
        <v>690</v>
      </c>
      <c r="E78" s="983"/>
      <c r="F78" s="983"/>
      <c r="G78" s="983"/>
      <c r="H78" s="983"/>
      <c r="I78" s="983"/>
      <c r="J78" s="984"/>
      <c r="K78" s="3309">
        <v>1186.9000000000001</v>
      </c>
      <c r="L78" s="3310"/>
      <c r="M78" s="3369">
        <v>225.108</v>
      </c>
      <c r="N78" s="3372">
        <f>24.9+0.118</f>
        <v>25.017999999999997</v>
      </c>
      <c r="O78" s="3372">
        <v>25.018000000000001</v>
      </c>
      <c r="P78" s="3376">
        <f>M78+N78+O78</f>
        <v>275.14400000000001</v>
      </c>
      <c r="Q78" s="3372">
        <v>420.83800000000002</v>
      </c>
      <c r="R78" s="3379">
        <v>898</v>
      </c>
      <c r="S78" s="3380"/>
      <c r="T78" s="3379">
        <v>935</v>
      </c>
      <c r="U78" s="3380"/>
      <c r="V78" s="3310">
        <v>1266.4000000000001</v>
      </c>
      <c r="W78" s="3310">
        <v>1317.1</v>
      </c>
    </row>
    <row r="79" spans="1:23" ht="13.15" customHeight="1" x14ac:dyDescent="0.35">
      <c r="A79" s="3094"/>
      <c r="B79" s="3095"/>
      <c r="C79" s="3096"/>
      <c r="D79" s="996" t="s">
        <v>691</v>
      </c>
      <c r="E79" s="997"/>
      <c r="F79" s="997"/>
      <c r="G79" s="997"/>
      <c r="H79" s="997"/>
      <c r="I79" s="997"/>
      <c r="J79" s="998"/>
      <c r="K79" s="3367"/>
      <c r="L79" s="3368"/>
      <c r="M79" s="3370"/>
      <c r="N79" s="3373"/>
      <c r="O79" s="3373"/>
      <c r="P79" s="3377"/>
      <c r="Q79" s="3373"/>
      <c r="R79" s="3381"/>
      <c r="S79" s="3382"/>
      <c r="T79" s="3381"/>
      <c r="U79" s="3382"/>
      <c r="V79" s="3368"/>
      <c r="W79" s="3368"/>
    </row>
    <row r="80" spans="1:23" ht="13.15" customHeight="1" x14ac:dyDescent="0.35">
      <c r="A80" s="3094"/>
      <c r="B80" s="3095"/>
      <c r="C80" s="3096"/>
      <c r="D80" s="996" t="s">
        <v>692</v>
      </c>
      <c r="E80" s="997"/>
      <c r="F80" s="997"/>
      <c r="G80" s="997"/>
      <c r="H80" s="997"/>
      <c r="I80" s="997"/>
      <c r="J80" s="998"/>
      <c r="K80" s="3367"/>
      <c r="L80" s="3368"/>
      <c r="M80" s="3370"/>
      <c r="N80" s="3373"/>
      <c r="O80" s="3373"/>
      <c r="P80" s="3377"/>
      <c r="Q80" s="3373"/>
      <c r="R80" s="3381"/>
      <c r="S80" s="3382"/>
      <c r="T80" s="3381"/>
      <c r="U80" s="3382"/>
      <c r="V80" s="3368"/>
      <c r="W80" s="3368"/>
    </row>
    <row r="81" spans="1:23" ht="12.75" customHeight="1" thickBot="1" x14ac:dyDescent="0.4">
      <c r="A81" s="3018"/>
      <c r="B81" s="3019"/>
      <c r="C81" s="3020"/>
      <c r="D81" s="985" t="s">
        <v>693</v>
      </c>
      <c r="E81" s="986"/>
      <c r="F81" s="986"/>
      <c r="G81" s="986"/>
      <c r="H81" s="986"/>
      <c r="I81" s="986"/>
      <c r="J81" s="987"/>
      <c r="K81" s="3311"/>
      <c r="L81" s="3312"/>
      <c r="M81" s="3371"/>
      <c r="N81" s="3374"/>
      <c r="O81" s="3374"/>
      <c r="P81" s="3378"/>
      <c r="Q81" s="3374"/>
      <c r="R81" s="3383"/>
      <c r="S81" s="3384"/>
      <c r="T81" s="3383"/>
      <c r="U81" s="3384"/>
      <c r="V81" s="3312"/>
      <c r="W81" s="3312"/>
    </row>
    <row r="82" spans="1:23" ht="15" x14ac:dyDescent="0.3">
      <c r="A82" s="3063" t="s">
        <v>694</v>
      </c>
      <c r="B82" s="3064"/>
      <c r="C82" s="3065"/>
      <c r="D82" s="976" t="s">
        <v>887</v>
      </c>
      <c r="E82" s="977"/>
      <c r="F82" s="977"/>
      <c r="G82" s="977"/>
      <c r="H82" s="977"/>
      <c r="I82" s="977"/>
      <c r="J82" s="978"/>
      <c r="K82" s="3391">
        <f>K84+K87</f>
        <v>2922.11</v>
      </c>
      <c r="L82" s="3392"/>
      <c r="M82" s="3390">
        <v>97</v>
      </c>
      <c r="N82" s="3390"/>
      <c r="O82" s="3390"/>
      <c r="P82" s="3390">
        <f>P84+P87</f>
        <v>125</v>
      </c>
      <c r="Q82" s="3390">
        <v>435.29176000000001</v>
      </c>
      <c r="R82" s="3193">
        <f>R84+R87</f>
        <v>10.6</v>
      </c>
      <c r="S82" s="3194"/>
      <c r="T82" s="3193">
        <f>T84+T87</f>
        <v>11.1</v>
      </c>
      <c r="U82" s="3194"/>
      <c r="V82" s="3392">
        <f>V87</f>
        <v>121.6</v>
      </c>
      <c r="W82" s="3392">
        <f>W87</f>
        <v>128.9</v>
      </c>
    </row>
    <row r="83" spans="1:23" thickBot="1" x14ac:dyDescent="0.35">
      <c r="A83" s="3066"/>
      <c r="B83" s="3067"/>
      <c r="C83" s="3068"/>
      <c r="D83" s="979" t="s">
        <v>695</v>
      </c>
      <c r="E83" s="980"/>
      <c r="F83" s="980"/>
      <c r="G83" s="980"/>
      <c r="H83" s="980"/>
      <c r="I83" s="980"/>
      <c r="J83" s="981"/>
      <c r="K83" s="3393"/>
      <c r="L83" s="3394"/>
      <c r="M83" s="3390"/>
      <c r="N83" s="3390"/>
      <c r="O83" s="3390"/>
      <c r="P83" s="3390"/>
      <c r="Q83" s="3390"/>
      <c r="R83" s="3197"/>
      <c r="S83" s="3198"/>
      <c r="T83" s="3197"/>
      <c r="U83" s="3198"/>
      <c r="V83" s="3394"/>
      <c r="W83" s="3394"/>
    </row>
    <row r="84" spans="1:23" ht="15" hidden="1" customHeight="1" x14ac:dyDescent="0.35">
      <c r="A84" s="3015" t="s">
        <v>696</v>
      </c>
      <c r="B84" s="3016"/>
      <c r="C84" s="3017"/>
      <c r="D84" s="982" t="s">
        <v>697</v>
      </c>
      <c r="E84" s="983"/>
      <c r="F84" s="983"/>
      <c r="G84" s="983"/>
      <c r="H84" s="983"/>
      <c r="I84" s="983"/>
      <c r="J84" s="984"/>
      <c r="K84" s="3309"/>
      <c r="L84" s="3385"/>
      <c r="M84" s="3390">
        <v>69</v>
      </c>
      <c r="N84" s="3390">
        <v>7</v>
      </c>
      <c r="O84" s="3390">
        <v>7</v>
      </c>
      <c r="P84" s="3390">
        <f>M84+N84+O84</f>
        <v>83</v>
      </c>
      <c r="Q84" s="3390">
        <v>0.5</v>
      </c>
      <c r="R84" s="3395"/>
      <c r="S84" s="3396"/>
      <c r="T84" s="3395"/>
      <c r="U84" s="3396"/>
      <c r="V84" s="3385"/>
      <c r="W84" s="3385"/>
    </row>
    <row r="85" spans="1:23" ht="15" hidden="1" customHeight="1" x14ac:dyDescent="0.35">
      <c r="A85" s="3094"/>
      <c r="B85" s="3095"/>
      <c r="C85" s="3096"/>
      <c r="D85" s="996" t="s">
        <v>698</v>
      </c>
      <c r="E85" s="997"/>
      <c r="F85" s="997"/>
      <c r="G85" s="997"/>
      <c r="H85" s="997"/>
      <c r="I85" s="997"/>
      <c r="J85" s="998"/>
      <c r="K85" s="3386"/>
      <c r="L85" s="3387"/>
      <c r="M85" s="3390"/>
      <c r="N85" s="3390"/>
      <c r="O85" s="3390"/>
      <c r="P85" s="3390"/>
      <c r="Q85" s="3390"/>
      <c r="R85" s="3397"/>
      <c r="S85" s="3398"/>
      <c r="T85" s="3397"/>
      <c r="U85" s="3398"/>
      <c r="V85" s="3387"/>
      <c r="W85" s="3387"/>
    </row>
    <row r="86" spans="1:23" ht="7.15" hidden="1" customHeight="1" x14ac:dyDescent="0.35">
      <c r="A86" s="3142"/>
      <c r="B86" s="3143"/>
      <c r="C86" s="3144"/>
      <c r="D86" s="1003"/>
      <c r="E86" s="1004"/>
      <c r="F86" s="1004"/>
      <c r="G86" s="1004"/>
      <c r="H86" s="1004"/>
      <c r="I86" s="1004"/>
      <c r="J86" s="1005"/>
      <c r="K86" s="3388"/>
      <c r="L86" s="3389"/>
      <c r="M86" s="3390"/>
      <c r="N86" s="3390"/>
      <c r="O86" s="3390"/>
      <c r="P86" s="3390"/>
      <c r="Q86" s="3390"/>
      <c r="R86" s="3399"/>
      <c r="S86" s="3400"/>
      <c r="T86" s="3399"/>
      <c r="U86" s="3400"/>
      <c r="V86" s="3389"/>
      <c r="W86" s="3389"/>
    </row>
    <row r="87" spans="1:23" ht="16" thickBot="1" x14ac:dyDescent="0.4">
      <c r="A87" s="3162" t="s">
        <v>699</v>
      </c>
      <c r="B87" s="3163"/>
      <c r="C87" s="3164"/>
      <c r="D87" s="996" t="s">
        <v>700</v>
      </c>
      <c r="E87" s="997"/>
      <c r="F87" s="997"/>
      <c r="G87" s="997"/>
      <c r="H87" s="997"/>
      <c r="I87" s="997"/>
      <c r="J87" s="998"/>
      <c r="K87" s="3401">
        <f>114+2808.11</f>
        <v>2922.11</v>
      </c>
      <c r="L87" s="3402"/>
      <c r="M87" s="2457">
        <v>28</v>
      </c>
      <c r="N87" s="2457">
        <v>7</v>
      </c>
      <c r="O87" s="2457">
        <v>7</v>
      </c>
      <c r="P87" s="2457">
        <f>M87+N87+O87</f>
        <v>42</v>
      </c>
      <c r="Q87" s="2457">
        <v>434.79176000000001</v>
      </c>
      <c r="R87" s="3403">
        <v>10.6</v>
      </c>
      <c r="S87" s="3404"/>
      <c r="T87" s="3403">
        <v>11.1</v>
      </c>
      <c r="U87" s="3404"/>
      <c r="V87" s="2458">
        <v>121.6</v>
      </c>
      <c r="W87" s="2458">
        <v>128.9</v>
      </c>
    </row>
    <row r="88" spans="1:23" ht="15" hidden="1" x14ac:dyDescent="0.3">
      <c r="A88" s="3063" t="s">
        <v>701</v>
      </c>
      <c r="B88" s="3064"/>
      <c r="C88" s="3065"/>
      <c r="D88" s="976" t="s">
        <v>702</v>
      </c>
      <c r="E88" s="977"/>
      <c r="F88" s="977"/>
      <c r="G88" s="977"/>
      <c r="H88" s="977"/>
      <c r="I88" s="977"/>
      <c r="J88" s="978"/>
      <c r="K88" s="3391">
        <f>K91+K96+K90</f>
        <v>0</v>
      </c>
      <c r="L88" s="3392"/>
      <c r="M88" s="3390">
        <v>530</v>
      </c>
      <c r="N88" s="3390"/>
      <c r="O88" s="3390"/>
      <c r="P88" s="3390">
        <f>P90+P91+P96</f>
        <v>590</v>
      </c>
      <c r="Q88" s="3390">
        <v>375.10428000000002</v>
      </c>
      <c r="R88" s="3193">
        <f>R91+R96+R90</f>
        <v>1540</v>
      </c>
      <c r="S88" s="3194"/>
      <c r="T88" s="3193">
        <f>T91+T96+T90</f>
        <v>755</v>
      </c>
      <c r="U88" s="3194"/>
      <c r="V88" s="3392">
        <f>V91</f>
        <v>0</v>
      </c>
      <c r="W88" s="3392">
        <f>W91</f>
        <v>0</v>
      </c>
    </row>
    <row r="89" spans="1:23" hidden="1" thickBot="1" x14ac:dyDescent="0.35">
      <c r="A89" s="3066"/>
      <c r="B89" s="3067"/>
      <c r="C89" s="3068"/>
      <c r="D89" s="979" t="s">
        <v>703</v>
      </c>
      <c r="E89" s="980"/>
      <c r="F89" s="980"/>
      <c r="G89" s="980"/>
      <c r="H89" s="980"/>
      <c r="I89" s="980"/>
      <c r="J89" s="981"/>
      <c r="K89" s="3393"/>
      <c r="L89" s="3394"/>
      <c r="M89" s="3376"/>
      <c r="N89" s="3376"/>
      <c r="O89" s="3376"/>
      <c r="P89" s="3376"/>
      <c r="Q89" s="3376"/>
      <c r="R89" s="3197"/>
      <c r="S89" s="3198"/>
      <c r="T89" s="3197"/>
      <c r="U89" s="3198"/>
      <c r="V89" s="3394"/>
      <c r="W89" s="3394"/>
    </row>
    <row r="90" spans="1:23" ht="28" hidden="1" customHeight="1" thickBot="1" x14ac:dyDescent="0.4">
      <c r="A90" s="3155" t="s">
        <v>1193</v>
      </c>
      <c r="B90" s="3156"/>
      <c r="C90" s="3157"/>
      <c r="D90" s="3306" t="s">
        <v>1194</v>
      </c>
      <c r="E90" s="3307"/>
      <c r="F90" s="3307"/>
      <c r="G90" s="3307"/>
      <c r="H90" s="3307"/>
      <c r="I90" s="3307"/>
      <c r="J90" s="3308"/>
      <c r="K90" s="3405"/>
      <c r="L90" s="3406"/>
      <c r="M90" s="2459"/>
      <c r="N90" s="2460"/>
      <c r="O90" s="2460"/>
      <c r="P90" s="2460"/>
      <c r="Q90" s="2461">
        <v>62.085000000000001</v>
      </c>
      <c r="R90" s="3407"/>
      <c r="S90" s="3408"/>
      <c r="T90" s="3407"/>
      <c r="U90" s="3408"/>
      <c r="V90" s="2462"/>
      <c r="W90" s="2462"/>
    </row>
    <row r="91" spans="1:23" hidden="1" x14ac:dyDescent="0.35">
      <c r="A91" s="3172" t="s">
        <v>706</v>
      </c>
      <c r="B91" s="3173"/>
      <c r="C91" s="3174"/>
      <c r="D91" s="996" t="s">
        <v>707</v>
      </c>
      <c r="E91" s="997"/>
      <c r="F91" s="997"/>
      <c r="G91" s="997"/>
      <c r="H91" s="997"/>
      <c r="I91" s="997"/>
      <c r="J91" s="998"/>
      <c r="K91" s="3409"/>
      <c r="L91" s="3410"/>
      <c r="M91" s="3378">
        <v>190</v>
      </c>
      <c r="N91" s="3378">
        <v>30</v>
      </c>
      <c r="O91" s="3378">
        <v>30</v>
      </c>
      <c r="P91" s="3378">
        <f>M91+N91+O91</f>
        <v>250</v>
      </c>
      <c r="Q91" s="3378">
        <v>243.4375</v>
      </c>
      <c r="R91" s="3412">
        <v>1540</v>
      </c>
      <c r="S91" s="3413"/>
      <c r="T91" s="3412">
        <v>755</v>
      </c>
      <c r="U91" s="3413"/>
      <c r="V91" s="3410">
        <v>0</v>
      </c>
      <c r="W91" s="3410">
        <v>0</v>
      </c>
    </row>
    <row r="92" spans="1:23" hidden="1" x14ac:dyDescent="0.35">
      <c r="A92" s="3094"/>
      <c r="B92" s="3095"/>
      <c r="C92" s="3096"/>
      <c r="D92" s="996" t="s">
        <v>708</v>
      </c>
      <c r="E92" s="997"/>
      <c r="F92" s="997"/>
      <c r="G92" s="997"/>
      <c r="H92" s="997"/>
      <c r="I92" s="997"/>
      <c r="J92" s="998"/>
      <c r="K92" s="3367"/>
      <c r="L92" s="3368"/>
      <c r="M92" s="3390"/>
      <c r="N92" s="3390"/>
      <c r="O92" s="3390"/>
      <c r="P92" s="3390"/>
      <c r="Q92" s="3390"/>
      <c r="R92" s="3412"/>
      <c r="S92" s="3413"/>
      <c r="T92" s="3412"/>
      <c r="U92" s="3413"/>
      <c r="V92" s="3368"/>
      <c r="W92" s="3368"/>
    </row>
    <row r="93" spans="1:23" hidden="1" x14ac:dyDescent="0.35">
      <c r="A93" s="3094"/>
      <c r="B93" s="3095"/>
      <c r="C93" s="3096"/>
      <c r="D93" s="996" t="s">
        <v>709</v>
      </c>
      <c r="E93" s="997"/>
      <c r="F93" s="997"/>
      <c r="G93" s="997"/>
      <c r="H93" s="997"/>
      <c r="I93" s="997"/>
      <c r="J93" s="998"/>
      <c r="K93" s="3367"/>
      <c r="L93" s="3368"/>
      <c r="M93" s="3390"/>
      <c r="N93" s="3390"/>
      <c r="O93" s="3390"/>
      <c r="P93" s="3390"/>
      <c r="Q93" s="3390"/>
      <c r="R93" s="3412"/>
      <c r="S93" s="3413"/>
      <c r="T93" s="3412"/>
      <c r="U93" s="3413"/>
      <c r="V93" s="3368"/>
      <c r="W93" s="3368"/>
    </row>
    <row r="94" spans="1:23" hidden="1" x14ac:dyDescent="0.35">
      <c r="A94" s="3094"/>
      <c r="B94" s="3095"/>
      <c r="C94" s="3096"/>
      <c r="D94" s="996" t="s">
        <v>710</v>
      </c>
      <c r="E94" s="997"/>
      <c r="F94" s="997"/>
      <c r="G94" s="997"/>
      <c r="H94" s="997"/>
      <c r="I94" s="997"/>
      <c r="J94" s="998"/>
      <c r="K94" s="3367"/>
      <c r="L94" s="3368"/>
      <c r="M94" s="3390"/>
      <c r="N94" s="3390"/>
      <c r="O94" s="3390"/>
      <c r="P94" s="3390"/>
      <c r="Q94" s="3390"/>
      <c r="R94" s="3412"/>
      <c r="S94" s="3413"/>
      <c r="T94" s="3412"/>
      <c r="U94" s="3413"/>
      <c r="V94" s="3368"/>
      <c r="W94" s="3368"/>
    </row>
    <row r="95" spans="1:23" ht="16" hidden="1" thickBot="1" x14ac:dyDescent="0.4">
      <c r="A95" s="3018"/>
      <c r="B95" s="3019"/>
      <c r="C95" s="3020"/>
      <c r="D95" s="985" t="s">
        <v>711</v>
      </c>
      <c r="E95" s="986"/>
      <c r="F95" s="986"/>
      <c r="G95" s="986"/>
      <c r="H95" s="986"/>
      <c r="I95" s="986"/>
      <c r="J95" s="987"/>
      <c r="K95" s="3311"/>
      <c r="L95" s="3312"/>
      <c r="M95" s="3390"/>
      <c r="N95" s="3390"/>
      <c r="O95" s="3390"/>
      <c r="P95" s="3390"/>
      <c r="Q95" s="3390"/>
      <c r="R95" s="3414"/>
      <c r="S95" s="3415"/>
      <c r="T95" s="3414"/>
      <c r="U95" s="3415"/>
      <c r="V95" s="3312"/>
      <c r="W95" s="3312"/>
    </row>
    <row r="96" spans="1:23" ht="15.65" hidden="1" customHeight="1" x14ac:dyDescent="0.35">
      <c r="A96" s="3015" t="s">
        <v>712</v>
      </c>
      <c r="B96" s="3016"/>
      <c r="C96" s="3017"/>
      <c r="D96" s="996" t="s">
        <v>713</v>
      </c>
      <c r="E96" s="997"/>
      <c r="F96" s="997"/>
      <c r="G96" s="997"/>
      <c r="H96" s="997"/>
      <c r="I96" s="997"/>
      <c r="J96" s="998"/>
      <c r="K96" s="3309"/>
      <c r="L96" s="3310"/>
      <c r="M96" s="3390">
        <v>340</v>
      </c>
      <c r="N96" s="3390"/>
      <c r="O96" s="3390"/>
      <c r="P96" s="3390">
        <f>M96+N96+O96</f>
        <v>340</v>
      </c>
      <c r="Q96" s="3390">
        <v>69.581779999999995</v>
      </c>
      <c r="R96" s="3395"/>
      <c r="S96" s="3411"/>
      <c r="T96" s="3395"/>
      <c r="U96" s="3411"/>
      <c r="V96" s="3310"/>
      <c r="W96" s="3310"/>
    </row>
    <row r="97" spans="1:29" ht="15.65" hidden="1" customHeight="1" x14ac:dyDescent="0.35">
      <c r="A97" s="3094"/>
      <c r="B97" s="3095"/>
      <c r="C97" s="3096"/>
      <c r="D97" s="996" t="s">
        <v>714</v>
      </c>
      <c r="E97" s="997"/>
      <c r="F97" s="997"/>
      <c r="G97" s="997"/>
      <c r="H97" s="997"/>
      <c r="I97" s="997"/>
      <c r="J97" s="998"/>
      <c r="K97" s="3367"/>
      <c r="L97" s="3368"/>
      <c r="M97" s="3390"/>
      <c r="N97" s="3390"/>
      <c r="O97" s="3390"/>
      <c r="P97" s="3390"/>
      <c r="Q97" s="3390"/>
      <c r="R97" s="3412"/>
      <c r="S97" s="3413"/>
      <c r="T97" s="3412"/>
      <c r="U97" s="3413"/>
      <c r="V97" s="3368"/>
      <c r="W97" s="3368"/>
    </row>
    <row r="98" spans="1:29" ht="15.65" hidden="1" customHeight="1" x14ac:dyDescent="0.35">
      <c r="A98" s="3094"/>
      <c r="B98" s="3095"/>
      <c r="C98" s="3096"/>
      <c r="D98" s="996" t="s">
        <v>715</v>
      </c>
      <c r="E98" s="997"/>
      <c r="F98" s="997"/>
      <c r="G98" s="997"/>
      <c r="H98" s="997"/>
      <c r="I98" s="997"/>
      <c r="J98" s="998"/>
      <c r="K98" s="3367"/>
      <c r="L98" s="3368"/>
      <c r="M98" s="3390"/>
      <c r="N98" s="3390"/>
      <c r="O98" s="3390"/>
      <c r="P98" s="3390"/>
      <c r="Q98" s="3390"/>
      <c r="R98" s="3412"/>
      <c r="S98" s="3413"/>
      <c r="T98" s="3412"/>
      <c r="U98" s="3413"/>
      <c r="V98" s="3368"/>
      <c r="W98" s="3368"/>
    </row>
    <row r="99" spans="1:29" ht="15.75" hidden="1" customHeight="1" thickBot="1" x14ac:dyDescent="0.4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3311"/>
      <c r="L99" s="3312"/>
      <c r="M99" s="2457"/>
      <c r="N99" s="2457"/>
      <c r="O99" s="2457"/>
      <c r="P99" s="2457"/>
      <c r="Q99" s="2463"/>
      <c r="R99" s="3412"/>
      <c r="S99" s="3413"/>
      <c r="T99" s="3412"/>
      <c r="U99" s="3413"/>
      <c r="V99" s="3312"/>
      <c r="W99" s="3312"/>
    </row>
    <row r="100" spans="1:29" ht="15.75" customHeight="1" x14ac:dyDescent="0.35">
      <c r="A100" s="3063" t="s">
        <v>716</v>
      </c>
      <c r="B100" s="3064"/>
      <c r="C100" s="3065"/>
      <c r="D100" s="3084" t="s">
        <v>717</v>
      </c>
      <c r="E100" s="3085"/>
      <c r="F100" s="3085"/>
      <c r="G100" s="3085"/>
      <c r="H100" s="3085"/>
      <c r="I100" s="3085"/>
      <c r="J100" s="3086"/>
      <c r="K100" s="3391">
        <f>K102</f>
        <v>20</v>
      </c>
      <c r="L100" s="3392"/>
      <c r="M100" s="2457"/>
      <c r="N100" s="2457"/>
      <c r="O100" s="2457"/>
      <c r="P100" s="2457"/>
      <c r="Q100" s="2463"/>
      <c r="R100" s="3193">
        <f>R102</f>
        <v>10</v>
      </c>
      <c r="S100" s="3194"/>
      <c r="T100" s="3193">
        <f>T102</f>
        <v>11</v>
      </c>
      <c r="U100" s="3194"/>
      <c r="V100" s="3392">
        <f>V102</f>
        <v>22</v>
      </c>
      <c r="W100" s="3392">
        <f>W102</f>
        <v>23</v>
      </c>
    </row>
    <row r="101" spans="1:29" ht="15.75" customHeight="1" thickBot="1" x14ac:dyDescent="0.4">
      <c r="A101" s="3066"/>
      <c r="B101" s="3067"/>
      <c r="C101" s="3068"/>
      <c r="D101" s="3087"/>
      <c r="E101" s="3088"/>
      <c r="F101" s="3088"/>
      <c r="G101" s="3088"/>
      <c r="H101" s="3088"/>
      <c r="I101" s="3088"/>
      <c r="J101" s="3089"/>
      <c r="K101" s="3393"/>
      <c r="L101" s="3394"/>
      <c r="M101" s="2457"/>
      <c r="N101" s="2457"/>
      <c r="O101" s="2457"/>
      <c r="P101" s="2457"/>
      <c r="Q101" s="2463"/>
      <c r="R101" s="3418"/>
      <c r="S101" s="3419"/>
      <c r="T101" s="3418"/>
      <c r="U101" s="3419"/>
      <c r="V101" s="3394"/>
      <c r="W101" s="3394"/>
    </row>
    <row r="102" spans="1:29" ht="15.75" customHeight="1" x14ac:dyDescent="0.35">
      <c r="A102" s="3015" t="s">
        <v>1105</v>
      </c>
      <c r="B102" s="3016"/>
      <c r="C102" s="3017"/>
      <c r="D102" s="3177" t="s">
        <v>999</v>
      </c>
      <c r="E102" s="3178"/>
      <c r="F102" s="3178"/>
      <c r="G102" s="3178"/>
      <c r="H102" s="3178"/>
      <c r="I102" s="3178"/>
      <c r="J102" s="3179"/>
      <c r="K102" s="3309">
        <v>20</v>
      </c>
      <c r="L102" s="3310"/>
      <c r="M102" s="2457"/>
      <c r="N102" s="2457"/>
      <c r="O102" s="2457"/>
      <c r="P102" s="2457"/>
      <c r="Q102" s="2463"/>
      <c r="R102" s="3395">
        <v>10</v>
      </c>
      <c r="S102" s="3411"/>
      <c r="T102" s="3395">
        <v>11</v>
      </c>
      <c r="U102" s="3411"/>
      <c r="V102" s="3310">
        <v>22</v>
      </c>
      <c r="W102" s="3310">
        <v>23</v>
      </c>
    </row>
    <row r="103" spans="1:29" ht="27" customHeight="1" thickBot="1" x14ac:dyDescent="0.4">
      <c r="A103" s="3018"/>
      <c r="B103" s="3019"/>
      <c r="C103" s="3020"/>
      <c r="D103" s="3180"/>
      <c r="E103" s="3181"/>
      <c r="F103" s="3181"/>
      <c r="G103" s="3181"/>
      <c r="H103" s="3181"/>
      <c r="I103" s="3181"/>
      <c r="J103" s="3182"/>
      <c r="K103" s="3311"/>
      <c r="L103" s="3312"/>
      <c r="M103" s="2457"/>
      <c r="N103" s="2457"/>
      <c r="O103" s="2457"/>
      <c r="P103" s="2457"/>
      <c r="Q103" s="2463"/>
      <c r="R103" s="3416"/>
      <c r="S103" s="3417"/>
      <c r="T103" s="3416"/>
      <c r="U103" s="3417"/>
      <c r="V103" s="3312"/>
      <c r="W103" s="3312"/>
    </row>
    <row r="104" spans="1:29" ht="15" hidden="1" x14ac:dyDescent="0.3">
      <c r="A104" s="3025" t="s">
        <v>720</v>
      </c>
      <c r="B104" s="3026"/>
      <c r="C104" s="3027"/>
      <c r="D104" s="976"/>
      <c r="E104" s="977"/>
      <c r="F104" s="977"/>
      <c r="G104" s="977"/>
      <c r="H104" s="977"/>
      <c r="I104" s="977"/>
      <c r="J104" s="978"/>
      <c r="K104" s="3391">
        <f>K106</f>
        <v>0</v>
      </c>
      <c r="L104" s="3392"/>
      <c r="M104" s="3390">
        <v>90</v>
      </c>
      <c r="N104" s="3390"/>
      <c r="O104" s="3390"/>
      <c r="P104" s="3390">
        <f>P106</f>
        <v>0</v>
      </c>
      <c r="Q104" s="3390">
        <v>129.83756</v>
      </c>
      <c r="R104" s="3193">
        <f>R106</f>
        <v>0</v>
      </c>
      <c r="S104" s="3194"/>
      <c r="T104" s="3193">
        <f>T106</f>
        <v>0</v>
      </c>
      <c r="U104" s="3194"/>
      <c r="V104" s="3392">
        <f>V106</f>
        <v>0</v>
      </c>
      <c r="W104" s="3392">
        <f>W106</f>
        <v>0</v>
      </c>
    </row>
    <row r="105" spans="1:29" hidden="1" thickBot="1" x14ac:dyDescent="0.35">
      <c r="A105" s="3028"/>
      <c r="B105" s="3029"/>
      <c r="C105" s="3030"/>
      <c r="D105" s="1009" t="s">
        <v>721</v>
      </c>
      <c r="E105" s="1010"/>
      <c r="F105" s="1010"/>
      <c r="G105" s="1010"/>
      <c r="H105" s="1010"/>
      <c r="I105" s="1010"/>
      <c r="J105" s="1011"/>
      <c r="K105" s="3393"/>
      <c r="L105" s="3394"/>
      <c r="M105" s="3390"/>
      <c r="N105" s="3390"/>
      <c r="O105" s="3390"/>
      <c r="P105" s="3390"/>
      <c r="Q105" s="3390"/>
      <c r="R105" s="3418"/>
      <c r="S105" s="3419"/>
      <c r="T105" s="3418"/>
      <c r="U105" s="3419"/>
      <c r="V105" s="3394"/>
      <c r="W105" s="3394"/>
    </row>
    <row r="106" spans="1:29" ht="15" hidden="1" customHeight="1" x14ac:dyDescent="0.3">
      <c r="A106" s="3012" t="s">
        <v>722</v>
      </c>
      <c r="B106" s="3013"/>
      <c r="C106" s="3014"/>
      <c r="D106" s="976"/>
      <c r="E106" s="977"/>
      <c r="F106" s="977"/>
      <c r="G106" s="977"/>
      <c r="H106" s="977"/>
      <c r="I106" s="977"/>
      <c r="J106" s="978"/>
      <c r="K106" s="3309"/>
      <c r="L106" s="3310"/>
      <c r="M106" s="3390"/>
      <c r="N106" s="3390"/>
      <c r="O106" s="3390"/>
      <c r="P106" s="3390"/>
      <c r="Q106" s="3390"/>
      <c r="R106" s="3395"/>
      <c r="S106" s="3411"/>
      <c r="T106" s="3395"/>
      <c r="U106" s="3411"/>
      <c r="V106" s="3310"/>
      <c r="W106" s="3310"/>
    </row>
    <row r="107" spans="1:29" ht="16" hidden="1" thickBot="1" x14ac:dyDescent="0.4">
      <c r="A107" s="3006"/>
      <c r="B107" s="2999"/>
      <c r="C107" s="3007"/>
      <c r="D107" s="1003" t="s">
        <v>723</v>
      </c>
      <c r="E107" s="1010"/>
      <c r="F107" s="1010"/>
      <c r="G107" s="1010"/>
      <c r="H107" s="1010"/>
      <c r="I107" s="1010"/>
      <c r="J107" s="1011"/>
      <c r="K107" s="3311"/>
      <c r="L107" s="3312"/>
      <c r="M107" s="3390"/>
      <c r="N107" s="3390"/>
      <c r="O107" s="3390"/>
      <c r="P107" s="3390"/>
      <c r="Q107" s="3390"/>
      <c r="R107" s="3416"/>
      <c r="S107" s="3417"/>
      <c r="T107" s="3416"/>
      <c r="U107" s="3417"/>
      <c r="V107" s="3368"/>
      <c r="W107" s="3312"/>
    </row>
    <row r="108" spans="1:29" ht="15" x14ac:dyDescent="0.3">
      <c r="A108" s="3025" t="s">
        <v>724</v>
      </c>
      <c r="B108" s="3026"/>
      <c r="C108" s="3027"/>
      <c r="D108" s="976"/>
      <c r="E108" s="977"/>
      <c r="F108" s="977"/>
      <c r="G108" s="977"/>
      <c r="H108" s="977"/>
      <c r="I108" s="977"/>
      <c r="J108" s="978"/>
      <c r="K108" s="3391">
        <f>K111+K112+K113+K115+K116+K117+K118+K119+K120+K122+K121+K125+K126</f>
        <v>40079.650959999999</v>
      </c>
      <c r="L108" s="3392">
        <f t="shared" ref="L108" si="0">SUM(L111:L126)</f>
        <v>0</v>
      </c>
      <c r="M108" s="3390">
        <v>8484.0619999999999</v>
      </c>
      <c r="N108" s="3390"/>
      <c r="O108" s="3390"/>
      <c r="P108" s="3390">
        <f>P111+P125+P126+P127+P130</f>
        <v>8524.0619999999999</v>
      </c>
      <c r="Q108" s="3390">
        <v>3580.9459499999998</v>
      </c>
      <c r="R108" s="3193">
        <f>R111+R125+R126+R127+R130+R112+S116+R129+R119+R117</f>
        <v>810.5</v>
      </c>
      <c r="S108" s="3194"/>
      <c r="T108" s="3193">
        <f>T111+T125+T126+T127+T130+T112+U116+T129+T119+T117</f>
        <v>818.5</v>
      </c>
      <c r="U108" s="3422"/>
      <c r="V108" s="3425">
        <f>V111+V112+V113+V115+V116+V117+V118+V119+V120+V122+V121+V125+V126+V114</f>
        <v>56077.143880000003</v>
      </c>
      <c r="W108" s="3392">
        <f>W111+W112+W113+W115+W116+W117+W118+W119+W120+W122+W121+W125+W126</f>
        <v>22653.640000000003</v>
      </c>
      <c r="X108" s="547">
        <f t="shared" ref="X108" si="1">SUM(X111:X126)</f>
        <v>2174.9</v>
      </c>
    </row>
    <row r="109" spans="1:29" ht="15" x14ac:dyDescent="0.3">
      <c r="A109" s="3205"/>
      <c r="B109" s="3206"/>
      <c r="C109" s="3207"/>
      <c r="D109" s="999" t="s">
        <v>725</v>
      </c>
      <c r="E109" s="1000"/>
      <c r="F109" s="1000"/>
      <c r="G109" s="1000"/>
      <c r="H109" s="1000"/>
      <c r="I109" s="1000"/>
      <c r="J109" s="1001"/>
      <c r="K109" s="3431"/>
      <c r="L109" s="3428"/>
      <c r="M109" s="3390"/>
      <c r="N109" s="3390"/>
      <c r="O109" s="3390"/>
      <c r="P109" s="3390"/>
      <c r="Q109" s="3390"/>
      <c r="R109" s="3195"/>
      <c r="S109" s="3196"/>
      <c r="T109" s="3195"/>
      <c r="U109" s="3423"/>
      <c r="V109" s="3426"/>
      <c r="W109" s="3428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3393"/>
      <c r="L110" s="3394"/>
      <c r="M110" s="2457"/>
      <c r="N110" s="2457"/>
      <c r="O110" s="2457"/>
      <c r="P110" s="2457"/>
      <c r="Q110" s="2463"/>
      <c r="R110" s="3197"/>
      <c r="S110" s="3198"/>
      <c r="T110" s="3197"/>
      <c r="U110" s="3424"/>
      <c r="V110" s="3427"/>
      <c r="W110" s="3394"/>
    </row>
    <row r="111" spans="1:29" ht="34.5" customHeight="1" thickBot="1" x14ac:dyDescent="0.4">
      <c r="A111" s="3185" t="s">
        <v>1184</v>
      </c>
      <c r="B111" s="3186"/>
      <c r="C111" s="3187"/>
      <c r="D111" s="3188" t="s">
        <v>1185</v>
      </c>
      <c r="E111" s="3199"/>
      <c r="F111" s="3199"/>
      <c r="G111" s="3199"/>
      <c r="H111" s="3199"/>
      <c r="I111" s="3199"/>
      <c r="J111" s="3200"/>
      <c r="K111" s="3420">
        <v>18595.7</v>
      </c>
      <c r="L111" s="3421"/>
      <c r="M111" s="2457">
        <v>6410.5</v>
      </c>
      <c r="N111" s="2457"/>
      <c r="O111" s="2457"/>
      <c r="P111" s="2457">
        <f>M111</f>
        <v>6410.5</v>
      </c>
      <c r="Q111" s="2463">
        <v>1538.52</v>
      </c>
      <c r="R111" s="3429"/>
      <c r="S111" s="3430"/>
      <c r="T111" s="3429"/>
      <c r="U111" s="3430"/>
      <c r="V111" s="2464">
        <v>18664</v>
      </c>
      <c r="W111" s="2465">
        <v>18599.400000000001</v>
      </c>
    </row>
    <row r="112" spans="1:29" ht="34.5" customHeight="1" thickBot="1" x14ac:dyDescent="0.4">
      <c r="A112" s="3210" t="s">
        <v>1001</v>
      </c>
      <c r="B112" s="3211"/>
      <c r="C112" s="3212"/>
      <c r="D112" s="3303" t="s">
        <v>1002</v>
      </c>
      <c r="E112" s="3304"/>
      <c r="F112" s="3304"/>
      <c r="G112" s="3304"/>
      <c r="H112" s="3304"/>
      <c r="I112" s="3304"/>
      <c r="J112" s="3305"/>
      <c r="K112" s="3420">
        <f>5868.75+1744.01</f>
        <v>7612.76</v>
      </c>
      <c r="L112" s="3421"/>
      <c r="M112" s="2457"/>
      <c r="N112" s="2457"/>
      <c r="O112" s="2457"/>
      <c r="P112" s="2457"/>
      <c r="Q112" s="2463"/>
      <c r="R112" s="2466"/>
      <c r="S112" s="2467"/>
      <c r="T112" s="2466"/>
      <c r="U112" s="2467"/>
      <c r="V112" s="2813">
        <f>14400-11122</f>
        <v>3278</v>
      </c>
      <c r="W112" s="2813">
        <v>2368</v>
      </c>
      <c r="AC112" s="547">
        <v>95</v>
      </c>
    </row>
    <row r="113" spans="1:30" ht="61.5" customHeight="1" thickBot="1" x14ac:dyDescent="0.4">
      <c r="A113" s="3210" t="s">
        <v>975</v>
      </c>
      <c r="B113" s="3211"/>
      <c r="C113" s="3212"/>
      <c r="D113" s="3188" t="s">
        <v>888</v>
      </c>
      <c r="E113" s="3189"/>
      <c r="F113" s="3189"/>
      <c r="G113" s="3189"/>
      <c r="H113" s="3189"/>
      <c r="I113" s="3189"/>
      <c r="J113" s="3190"/>
      <c r="K113" s="3420">
        <v>652.5</v>
      </c>
      <c r="L113" s="3421"/>
      <c r="M113" s="2468"/>
      <c r="N113" s="2468"/>
      <c r="O113" s="2468"/>
      <c r="P113" s="2468"/>
      <c r="Q113" s="2469"/>
      <c r="R113" s="2470"/>
      <c r="S113" s="2471"/>
      <c r="T113" s="2470"/>
      <c r="U113" s="2471"/>
      <c r="V113" s="2450">
        <v>0</v>
      </c>
      <c r="W113" s="2450">
        <v>0</v>
      </c>
      <c r="AB113" s="550"/>
      <c r="AC113" s="547">
        <v>-5.7</v>
      </c>
      <c r="AD113" s="547">
        <v>383.2</v>
      </c>
    </row>
    <row r="114" spans="1:30" ht="69" customHeight="1" thickBot="1" x14ac:dyDescent="0.4">
      <c r="A114" s="3210" t="s">
        <v>975</v>
      </c>
      <c r="B114" s="3211"/>
      <c r="C114" s="3212"/>
      <c r="D114" s="3432" t="s">
        <v>1226</v>
      </c>
      <c r="E114" s="3433"/>
      <c r="F114" s="3433"/>
      <c r="G114" s="3433"/>
      <c r="H114" s="3433"/>
      <c r="I114" s="3433"/>
      <c r="J114" s="3434"/>
      <c r="K114" s="3313">
        <v>0</v>
      </c>
      <c r="L114" s="3314"/>
      <c r="M114" s="2448">
        <v>485.56200000000001</v>
      </c>
      <c r="N114" s="2448"/>
      <c r="O114" s="2448"/>
      <c r="P114" s="2448">
        <v>485.56200000000001</v>
      </c>
      <c r="Q114" s="2449">
        <v>485.56200000000001</v>
      </c>
      <c r="R114" s="2472"/>
      <c r="S114" s="2473"/>
      <c r="T114" s="2472"/>
      <c r="U114" s="2473"/>
      <c r="V114" s="2450">
        <v>31332.00388</v>
      </c>
      <c r="W114" s="2450">
        <v>0</v>
      </c>
      <c r="AB114" s="550"/>
    </row>
    <row r="115" spans="1:30" ht="31.5" customHeight="1" thickBot="1" x14ac:dyDescent="0.4">
      <c r="A115" s="3210" t="s">
        <v>1156</v>
      </c>
      <c r="B115" s="3211"/>
      <c r="C115" s="3212"/>
      <c r="D115" s="3432" t="s">
        <v>1227</v>
      </c>
      <c r="E115" s="3433"/>
      <c r="F115" s="3433"/>
      <c r="G115" s="3433"/>
      <c r="H115" s="3433"/>
      <c r="I115" s="3433"/>
      <c r="J115" s="3434"/>
      <c r="K115" s="3435">
        <f>1834.1-0.04904</f>
        <v>1834.0509599999998</v>
      </c>
      <c r="L115" s="3436"/>
      <c r="M115" s="2448"/>
      <c r="N115" s="2448"/>
      <c r="O115" s="2448"/>
      <c r="P115" s="2448"/>
      <c r="Q115" s="2449"/>
      <c r="R115" s="2472"/>
      <c r="S115" s="2473"/>
      <c r="T115" s="2472"/>
      <c r="U115" s="2473"/>
      <c r="V115" s="2450">
        <v>0</v>
      </c>
      <c r="W115" s="2450">
        <v>0</v>
      </c>
      <c r="AB115" s="550"/>
    </row>
    <row r="116" spans="1:30" ht="49.5" customHeight="1" thickBot="1" x14ac:dyDescent="0.4">
      <c r="A116" s="3185" t="s">
        <v>974</v>
      </c>
      <c r="B116" s="3186"/>
      <c r="C116" s="3187"/>
      <c r="D116" s="3188" t="s">
        <v>1215</v>
      </c>
      <c r="E116" s="3189"/>
      <c r="F116" s="3189"/>
      <c r="G116" s="3189"/>
      <c r="H116" s="3189"/>
      <c r="I116" s="3189"/>
      <c r="J116" s="3190"/>
      <c r="K116" s="3313">
        <v>1747.6</v>
      </c>
      <c r="L116" s="3314"/>
      <c r="M116" s="2448">
        <v>485.56200000000001</v>
      </c>
      <c r="N116" s="2448"/>
      <c r="O116" s="2448"/>
      <c r="P116" s="2448">
        <v>485.56200000000001</v>
      </c>
      <c r="Q116" s="2449">
        <v>485.56200000000001</v>
      </c>
      <c r="R116" s="2472"/>
      <c r="S116" s="2473"/>
      <c r="T116" s="2472"/>
      <c r="U116" s="2473"/>
      <c r="V116" s="2450">
        <v>0</v>
      </c>
      <c r="W116" s="2450">
        <v>0</v>
      </c>
      <c r="X116" s="1791">
        <v>1333.1</v>
      </c>
      <c r="Y116" s="1790">
        <v>1333.1</v>
      </c>
      <c r="Z116" s="1790">
        <v>1333.1</v>
      </c>
      <c r="AB116" s="2217">
        <f>278.4+643.25+2136.73+405.4</f>
        <v>3463.78</v>
      </c>
      <c r="AC116" s="547">
        <f>-1333.1</f>
        <v>-1333.1</v>
      </c>
    </row>
    <row r="117" spans="1:30" ht="63" customHeight="1" thickBot="1" x14ac:dyDescent="0.4">
      <c r="A117" s="3185" t="s">
        <v>974</v>
      </c>
      <c r="B117" s="3186"/>
      <c r="C117" s="3187"/>
      <c r="D117" s="3303" t="s">
        <v>1100</v>
      </c>
      <c r="E117" s="3304"/>
      <c r="F117" s="3304"/>
      <c r="G117" s="3304"/>
      <c r="H117" s="3304"/>
      <c r="I117" s="3304"/>
      <c r="J117" s="3305"/>
      <c r="K117" s="3227">
        <v>405.4</v>
      </c>
      <c r="L117" s="3228"/>
      <c r="M117" s="2401"/>
      <c r="N117" s="2401"/>
      <c r="O117" s="2401"/>
      <c r="P117" s="2401"/>
      <c r="Q117" s="2411"/>
      <c r="R117" s="3229"/>
      <c r="S117" s="3230"/>
      <c r="T117" s="3229"/>
      <c r="U117" s="3230"/>
      <c r="V117" s="2405">
        <v>0</v>
      </c>
      <c r="W117" s="2405">
        <v>0</v>
      </c>
      <c r="X117" s="1791"/>
      <c r="Y117" s="1790"/>
      <c r="Z117" s="1790"/>
    </row>
    <row r="118" spans="1:30" ht="36.65" customHeight="1" thickBot="1" x14ac:dyDescent="0.4">
      <c r="A118" s="3185" t="s">
        <v>974</v>
      </c>
      <c r="B118" s="3186"/>
      <c r="C118" s="3187"/>
      <c r="D118" s="3303" t="s">
        <v>1101</v>
      </c>
      <c r="E118" s="3304"/>
      <c r="F118" s="3304"/>
      <c r="G118" s="3304"/>
      <c r="H118" s="3304"/>
      <c r="I118" s="3304"/>
      <c r="J118" s="3305"/>
      <c r="K118" s="3227">
        <v>1300.3</v>
      </c>
      <c r="L118" s="3228"/>
      <c r="M118" s="2401"/>
      <c r="N118" s="2401"/>
      <c r="O118" s="2401"/>
      <c r="P118" s="2401"/>
      <c r="Q118" s="2411"/>
      <c r="R118" s="2406"/>
      <c r="S118" s="2407"/>
      <c r="T118" s="2406"/>
      <c r="U118" s="2407"/>
      <c r="V118" s="2405">
        <v>1053.0999999999999</v>
      </c>
      <c r="W118" s="2405">
        <v>787.2</v>
      </c>
      <c r="X118" s="1791"/>
      <c r="Y118" s="1790"/>
      <c r="Z118" s="1790"/>
    </row>
    <row r="119" spans="1:30" ht="60.65" customHeight="1" thickBot="1" x14ac:dyDescent="0.4">
      <c r="A119" s="3185" t="s">
        <v>974</v>
      </c>
      <c r="B119" s="3186"/>
      <c r="C119" s="3187"/>
      <c r="D119" s="3220" t="s">
        <v>1102</v>
      </c>
      <c r="E119" s="3221"/>
      <c r="F119" s="3221"/>
      <c r="G119" s="3221"/>
      <c r="H119" s="3221"/>
      <c r="I119" s="3221"/>
      <c r="J119" s="3222"/>
      <c r="K119" s="3227">
        <v>2118.6999999999998</v>
      </c>
      <c r="L119" s="3228"/>
      <c r="M119" s="2401"/>
      <c r="N119" s="2401"/>
      <c r="O119" s="2401"/>
      <c r="P119" s="2401"/>
      <c r="Q119" s="2411"/>
      <c r="R119" s="3229"/>
      <c r="S119" s="3230"/>
      <c r="T119" s="3229"/>
      <c r="U119" s="3230"/>
      <c r="V119" s="2405">
        <v>0</v>
      </c>
      <c r="W119" s="2405">
        <v>0</v>
      </c>
      <c r="X119" s="1791"/>
      <c r="Y119" s="1790"/>
      <c r="Z119" s="1790"/>
    </row>
    <row r="120" spans="1:30" ht="33" customHeight="1" thickBot="1" x14ac:dyDescent="0.4">
      <c r="A120" s="3185" t="s">
        <v>974</v>
      </c>
      <c r="B120" s="3186"/>
      <c r="C120" s="3187"/>
      <c r="D120" s="3188" t="s">
        <v>1186</v>
      </c>
      <c r="E120" s="3199"/>
      <c r="F120" s="3199"/>
      <c r="G120" s="3199"/>
      <c r="H120" s="3199"/>
      <c r="I120" s="3199"/>
      <c r="J120" s="3200"/>
      <c r="K120" s="3227">
        <v>300</v>
      </c>
      <c r="L120" s="3228"/>
      <c r="M120" s="2401">
        <v>613</v>
      </c>
      <c r="N120" s="2401"/>
      <c r="O120" s="2401"/>
      <c r="P120" s="2401">
        <v>613</v>
      </c>
      <c r="Q120" s="2411">
        <v>613</v>
      </c>
      <c r="R120" s="3229"/>
      <c r="S120" s="3230"/>
      <c r="T120" s="3229"/>
      <c r="U120" s="3230"/>
      <c r="V120" s="2405">
        <v>0</v>
      </c>
      <c r="W120" s="2405">
        <v>0</v>
      </c>
      <c r="X120" s="1791"/>
      <c r="Y120" s="1790"/>
      <c r="Z120" s="1790"/>
    </row>
    <row r="121" spans="1:30" ht="34.5" customHeight="1" thickBot="1" x14ac:dyDescent="0.4">
      <c r="A121" s="3185" t="s">
        <v>974</v>
      </c>
      <c r="B121" s="3186"/>
      <c r="C121" s="3187"/>
      <c r="D121" s="3188" t="s">
        <v>1148</v>
      </c>
      <c r="E121" s="3189"/>
      <c r="F121" s="3189"/>
      <c r="G121" s="3189"/>
      <c r="H121" s="3189"/>
      <c r="I121" s="3189"/>
      <c r="J121" s="3190"/>
      <c r="K121" s="3227">
        <v>0</v>
      </c>
      <c r="L121" s="3228"/>
      <c r="M121" s="2401"/>
      <c r="N121" s="2401"/>
      <c r="O121" s="2401"/>
      <c r="P121" s="2401"/>
      <c r="Q121" s="2411"/>
      <c r="R121" s="2406"/>
      <c r="S121" s="2407"/>
      <c r="T121" s="2406"/>
      <c r="U121" s="2407"/>
      <c r="V121" s="2405">
        <v>851</v>
      </c>
      <c r="W121" s="2405">
        <v>0</v>
      </c>
      <c r="X121" s="1791"/>
      <c r="Y121" s="1790"/>
      <c r="Z121" s="1790"/>
    </row>
    <row r="122" spans="1:30" ht="35.25" customHeight="1" thickBot="1" x14ac:dyDescent="0.4">
      <c r="A122" s="3185" t="s">
        <v>974</v>
      </c>
      <c r="B122" s="3186"/>
      <c r="C122" s="3187"/>
      <c r="D122" s="3188" t="s">
        <v>1216</v>
      </c>
      <c r="E122" s="3189"/>
      <c r="F122" s="3189"/>
      <c r="G122" s="3189"/>
      <c r="H122" s="3189"/>
      <c r="I122" s="3189"/>
      <c r="J122" s="3190"/>
      <c r="K122" s="3227">
        <v>4613.6000000000004</v>
      </c>
      <c r="L122" s="3228"/>
      <c r="M122" s="2401"/>
      <c r="N122" s="2401"/>
      <c r="O122" s="2401"/>
      <c r="P122" s="2401"/>
      <c r="Q122" s="2411"/>
      <c r="R122" s="2406"/>
      <c r="S122" s="2407"/>
      <c r="T122" s="2406"/>
      <c r="U122" s="2407"/>
      <c r="V122" s="2405">
        <v>0</v>
      </c>
      <c r="W122" s="2405">
        <f>6291-6291</f>
        <v>0</v>
      </c>
      <c r="X122" s="1791"/>
      <c r="Y122" s="1790"/>
      <c r="Z122" s="1790"/>
    </row>
    <row r="123" spans="1:30" ht="35.25" hidden="1" customHeight="1" thickBot="1" x14ac:dyDescent="0.4">
      <c r="A123" s="3185" t="s">
        <v>974</v>
      </c>
      <c r="B123" s="3186"/>
      <c r="C123" s="3187"/>
      <c r="D123" s="3188" t="s">
        <v>1154</v>
      </c>
      <c r="E123" s="3189"/>
      <c r="F123" s="3189"/>
      <c r="G123" s="3189"/>
      <c r="H123" s="3189"/>
      <c r="I123" s="3189"/>
      <c r="J123" s="3190"/>
      <c r="K123" s="3227">
        <v>0</v>
      </c>
      <c r="L123" s="3228"/>
      <c r="M123" s="2401"/>
      <c r="N123" s="2401"/>
      <c r="O123" s="2401"/>
      <c r="P123" s="2401"/>
      <c r="Q123" s="2411"/>
      <c r="R123" s="2406"/>
      <c r="S123" s="2407"/>
      <c r="T123" s="2406"/>
      <c r="U123" s="2407"/>
      <c r="V123" s="2405">
        <v>0</v>
      </c>
      <c r="W123" s="2405">
        <v>0</v>
      </c>
      <c r="X123" s="1791"/>
      <c r="Y123" s="1790"/>
      <c r="Z123" s="1790"/>
    </row>
    <row r="124" spans="1:30" ht="35.25" hidden="1" customHeight="1" thickBot="1" x14ac:dyDescent="0.4">
      <c r="A124" s="3185" t="s">
        <v>974</v>
      </c>
      <c r="B124" s="3186"/>
      <c r="C124" s="3187"/>
      <c r="D124" s="3188" t="s">
        <v>1155</v>
      </c>
      <c r="E124" s="3189"/>
      <c r="F124" s="3189"/>
      <c r="G124" s="3189"/>
      <c r="H124" s="3189"/>
      <c r="I124" s="3189"/>
      <c r="J124" s="3190"/>
      <c r="K124" s="3227">
        <v>0</v>
      </c>
      <c r="L124" s="3228"/>
      <c r="M124" s="2401"/>
      <c r="N124" s="2401"/>
      <c r="O124" s="2401"/>
      <c r="P124" s="2401"/>
      <c r="Q124" s="2411"/>
      <c r="R124" s="2406"/>
      <c r="S124" s="2407"/>
      <c r="T124" s="2406"/>
      <c r="U124" s="2407"/>
      <c r="V124" s="2405">
        <v>0</v>
      </c>
      <c r="W124" s="2405">
        <v>0</v>
      </c>
      <c r="X124" s="1791"/>
      <c r="Y124" s="1790"/>
      <c r="Z124" s="1790"/>
    </row>
    <row r="125" spans="1:30" ht="36.75" customHeight="1" thickBot="1" x14ac:dyDescent="0.4">
      <c r="A125" s="3185" t="s">
        <v>973</v>
      </c>
      <c r="B125" s="3186"/>
      <c r="C125" s="3187"/>
      <c r="D125" s="3188" t="s">
        <v>736</v>
      </c>
      <c r="E125" s="3199"/>
      <c r="F125" s="3199"/>
      <c r="G125" s="3199"/>
      <c r="H125" s="3199"/>
      <c r="I125" s="3199"/>
      <c r="J125" s="3200"/>
      <c r="K125" s="3227">
        <f>814.8+77.2</f>
        <v>892</v>
      </c>
      <c r="L125" s="3228"/>
      <c r="M125" s="2401">
        <v>485.56200000000001</v>
      </c>
      <c r="N125" s="2401"/>
      <c r="O125" s="2401"/>
      <c r="P125" s="2401">
        <v>485.56200000000001</v>
      </c>
      <c r="Q125" s="2411">
        <v>485.56200000000001</v>
      </c>
      <c r="R125" s="3229"/>
      <c r="S125" s="3230"/>
      <c r="T125" s="3229"/>
      <c r="U125" s="3230"/>
      <c r="V125" s="2405">
        <f>857.3+34.7</f>
        <v>892</v>
      </c>
      <c r="W125" s="2405">
        <v>892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3185" t="s">
        <v>972</v>
      </c>
      <c r="B126" s="3186"/>
      <c r="C126" s="3187"/>
      <c r="D126" s="3188" t="s">
        <v>889</v>
      </c>
      <c r="E126" s="3199"/>
      <c r="F126" s="3199"/>
      <c r="G126" s="3199"/>
      <c r="H126" s="3199"/>
      <c r="I126" s="3199"/>
      <c r="J126" s="3200"/>
      <c r="K126" s="3227">
        <f>7.1-0.06</f>
        <v>7.04</v>
      </c>
      <c r="L126" s="3228"/>
      <c r="M126" s="2401">
        <v>10</v>
      </c>
      <c r="N126" s="2401"/>
      <c r="O126" s="2401"/>
      <c r="P126" s="2401">
        <v>10</v>
      </c>
      <c r="Q126" s="2411">
        <v>10</v>
      </c>
      <c r="R126" s="3229">
        <v>598.5</v>
      </c>
      <c r="S126" s="3230"/>
      <c r="T126" s="3229">
        <v>598.5</v>
      </c>
      <c r="U126" s="3230"/>
      <c r="V126" s="2405">
        <f>7.1-0.06</f>
        <v>7.04</v>
      </c>
      <c r="W126" s="2405">
        <f>7.1-0.06</f>
        <v>7.04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3185" t="s">
        <v>1098</v>
      </c>
      <c r="B127" s="3186"/>
      <c r="C127" s="3187"/>
      <c r="D127" s="3188" t="s">
        <v>1099</v>
      </c>
      <c r="E127" s="3199"/>
      <c r="F127" s="3199"/>
      <c r="G127" s="3199"/>
      <c r="H127" s="3199"/>
      <c r="I127" s="3199"/>
      <c r="J127" s="3200"/>
      <c r="K127" s="3216"/>
      <c r="L127" s="3217"/>
      <c r="M127" s="2416">
        <v>613</v>
      </c>
      <c r="N127" s="2416"/>
      <c r="O127" s="2416"/>
      <c r="P127" s="2416">
        <v>613</v>
      </c>
      <c r="Q127" s="2412">
        <v>613</v>
      </c>
      <c r="R127" s="3218"/>
      <c r="S127" s="3219"/>
      <c r="T127" s="3218"/>
      <c r="U127" s="3219"/>
      <c r="V127" s="2402"/>
      <c r="W127" s="2402"/>
      <c r="AB127" s="547">
        <v>122</v>
      </c>
    </row>
    <row r="128" spans="1:30" ht="33" hidden="1" customHeight="1" thickBot="1" x14ac:dyDescent="0.4">
      <c r="A128" s="3185" t="s">
        <v>1152</v>
      </c>
      <c r="B128" s="3186"/>
      <c r="C128" s="3187"/>
      <c r="D128" s="3188" t="s">
        <v>1153</v>
      </c>
      <c r="E128" s="3189"/>
      <c r="F128" s="3189"/>
      <c r="G128" s="3189"/>
      <c r="H128" s="3189"/>
      <c r="I128" s="3189"/>
      <c r="J128" s="3190"/>
      <c r="K128" s="3216"/>
      <c r="L128" s="3217"/>
      <c r="M128" s="2416"/>
      <c r="N128" s="2416"/>
      <c r="O128" s="2416"/>
      <c r="P128" s="2416"/>
      <c r="Q128" s="2412"/>
      <c r="R128" s="2403"/>
      <c r="S128" s="2404"/>
      <c r="T128" s="2403"/>
      <c r="U128" s="2404"/>
      <c r="V128" s="2402"/>
      <c r="W128" s="2402"/>
    </row>
    <row r="129" spans="1:32" ht="30.65" hidden="1" customHeight="1" thickBot="1" x14ac:dyDescent="0.4">
      <c r="A129" s="3185" t="s">
        <v>1121</v>
      </c>
      <c r="B129" s="3186"/>
      <c r="C129" s="3187"/>
      <c r="D129" s="3432" t="s">
        <v>1122</v>
      </c>
      <c r="E129" s="3082"/>
      <c r="F129" s="3082"/>
      <c r="G129" s="3082"/>
      <c r="H129" s="3082"/>
      <c r="I129" s="3082"/>
      <c r="J129" s="3083"/>
      <c r="K129" s="3216">
        <v>0</v>
      </c>
      <c r="L129" s="3217"/>
      <c r="M129" s="2416"/>
      <c r="N129" s="2416"/>
      <c r="O129" s="2416"/>
      <c r="P129" s="2416"/>
      <c r="Q129" s="2412"/>
      <c r="R129" s="3218"/>
      <c r="S129" s="3219"/>
      <c r="T129" s="3218"/>
      <c r="U129" s="3219"/>
      <c r="V129" s="2402">
        <v>0</v>
      </c>
      <c r="W129" s="2402">
        <v>0</v>
      </c>
    </row>
    <row r="130" spans="1:32" ht="34.5" hidden="1" customHeight="1" thickBot="1" x14ac:dyDescent="0.4">
      <c r="A130" s="3185" t="s">
        <v>1119</v>
      </c>
      <c r="B130" s="3186"/>
      <c r="C130" s="3187"/>
      <c r="D130" s="3231" t="s">
        <v>1120</v>
      </c>
      <c r="E130" s="3232"/>
      <c r="F130" s="3232"/>
      <c r="G130" s="3232"/>
      <c r="H130" s="3232"/>
      <c r="I130" s="3232"/>
      <c r="J130" s="3233"/>
      <c r="K130" s="3269">
        <v>0</v>
      </c>
      <c r="L130" s="3270"/>
      <c r="M130" s="2416">
        <v>965</v>
      </c>
      <c r="N130" s="2416">
        <v>20</v>
      </c>
      <c r="O130" s="2416">
        <v>20</v>
      </c>
      <c r="P130" s="2416">
        <f>M130+N130+O130</f>
        <v>1005</v>
      </c>
      <c r="Q130" s="2412">
        <v>1222.22</v>
      </c>
      <c r="R130" s="3441">
        <v>212</v>
      </c>
      <c r="S130" s="3442"/>
      <c r="T130" s="3441">
        <v>220</v>
      </c>
      <c r="U130" s="3442"/>
      <c r="V130" s="2414">
        <v>0</v>
      </c>
      <c r="W130" s="2414">
        <v>0</v>
      </c>
      <c r="AF130" s="2217"/>
    </row>
    <row r="131" spans="1:32" ht="12.75" customHeight="1" x14ac:dyDescent="0.35">
      <c r="A131" s="3443" t="s">
        <v>744</v>
      </c>
      <c r="B131" s="3444"/>
      <c r="C131" s="3445"/>
      <c r="D131" s="982"/>
      <c r="E131" s="983"/>
      <c r="F131" s="983"/>
      <c r="G131" s="983"/>
      <c r="H131" s="983"/>
      <c r="I131" s="983"/>
      <c r="J131" s="984"/>
      <c r="K131" s="3391">
        <f>K108+K38</f>
        <v>125268.46096</v>
      </c>
      <c r="L131" s="3392"/>
      <c r="M131" s="3439">
        <v>25719.42</v>
      </c>
      <c r="N131" s="3439"/>
      <c r="O131" s="3439"/>
      <c r="P131" s="3437">
        <f>P38+P108</f>
        <v>32956.455999999998</v>
      </c>
      <c r="Q131" s="3439"/>
      <c r="R131" s="3193">
        <f>R38+R108</f>
        <v>74385.700000000012</v>
      </c>
      <c r="S131" s="3194"/>
      <c r="T131" s="3193">
        <f>T38+T108</f>
        <v>76457.200000000012</v>
      </c>
      <c r="U131" s="3194"/>
      <c r="V131" s="3392">
        <f>V108+V38</f>
        <v>140977.24388000002</v>
      </c>
      <c r="W131" s="3392">
        <f>W108+W38</f>
        <v>111774.84</v>
      </c>
    </row>
    <row r="132" spans="1:32" ht="16.5" customHeight="1" thickBot="1" x14ac:dyDescent="0.4">
      <c r="A132" s="3446"/>
      <c r="B132" s="3447"/>
      <c r="C132" s="3448"/>
      <c r="D132" s="979"/>
      <c r="E132" s="980"/>
      <c r="F132" s="980"/>
      <c r="G132" s="986"/>
      <c r="H132" s="986"/>
      <c r="I132" s="986"/>
      <c r="J132" s="987"/>
      <c r="K132" s="3393"/>
      <c r="L132" s="3394"/>
      <c r="M132" s="3440"/>
      <c r="N132" s="3440"/>
      <c r="O132" s="3440"/>
      <c r="P132" s="3438"/>
      <c r="Q132" s="3440"/>
      <c r="R132" s="3197"/>
      <c r="S132" s="3198"/>
      <c r="T132" s="3197"/>
      <c r="U132" s="3198"/>
      <c r="V132" s="3394"/>
      <c r="W132" s="3394"/>
    </row>
    <row r="133" spans="1:32" x14ac:dyDescent="0.35">
      <c r="K133" s="447"/>
      <c r="L133" s="447"/>
      <c r="N133" s="2215">
        <f>SUM(N38:N132)</f>
        <v>3863.518</v>
      </c>
      <c r="O133" s="2215">
        <f>SUM(O38:O132)</f>
        <v>3863.518</v>
      </c>
      <c r="P133" s="2215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V139" s="2229"/>
    </row>
  </sheetData>
  <mergeCells count="403"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A114:C114"/>
    <mergeCell ref="D114:J114"/>
    <mergeCell ref="K114:L114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A117:C117"/>
    <mergeCell ref="D117:J117"/>
    <mergeCell ref="K117:L117"/>
    <mergeCell ref="A115:C115"/>
    <mergeCell ref="D115:J115"/>
    <mergeCell ref="K115:L115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2:C112"/>
    <mergeCell ref="D112:J112"/>
    <mergeCell ref="K112:L112"/>
    <mergeCell ref="A113:C113"/>
    <mergeCell ref="D113:J113"/>
    <mergeCell ref="Q106:Q107"/>
    <mergeCell ref="R106:S107"/>
    <mergeCell ref="T106:U107"/>
    <mergeCell ref="V106:V107"/>
    <mergeCell ref="Q108:Q109"/>
    <mergeCell ref="R108:S110"/>
    <mergeCell ref="T108:U110"/>
    <mergeCell ref="V108:V110"/>
    <mergeCell ref="K113:L113"/>
    <mergeCell ref="W106:W107"/>
    <mergeCell ref="Q104:Q105"/>
    <mergeCell ref="R104:S105"/>
    <mergeCell ref="T104:U105"/>
    <mergeCell ref="V104:V105"/>
    <mergeCell ref="W104:W105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P104:P10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D90:J90"/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  <mergeCell ref="A121:C121"/>
    <mergeCell ref="A122:C122"/>
    <mergeCell ref="D121:J121"/>
    <mergeCell ref="D122:J122"/>
    <mergeCell ref="K121:L121"/>
    <mergeCell ref="K122:L122"/>
    <mergeCell ref="A106:C107"/>
    <mergeCell ref="K106:L107"/>
    <mergeCell ref="A116:C116"/>
    <mergeCell ref="D116:J116"/>
    <mergeCell ref="K116:L116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.5" hidden="1" x14ac:dyDescent="0.35">
      <c r="A1" s="2290"/>
      <c r="B1" s="2290"/>
      <c r="C1" s="2290"/>
      <c r="D1" s="2290"/>
      <c r="E1" s="2290"/>
      <c r="F1" s="2290"/>
      <c r="G1" s="2290"/>
      <c r="H1" s="3500" t="s">
        <v>792</v>
      </c>
      <c r="I1" s="3500"/>
      <c r="J1" s="3500"/>
    </row>
    <row r="2" spans="1:25" ht="15.5" hidden="1" x14ac:dyDescent="0.35">
      <c r="A2" s="2290"/>
      <c r="B2" s="2290"/>
      <c r="C2" s="2290"/>
      <c r="D2" s="2290"/>
      <c r="E2" s="2290"/>
      <c r="F2" s="2290"/>
      <c r="G2" s="2290"/>
      <c r="H2" s="3500" t="s">
        <v>450</v>
      </c>
      <c r="I2" s="3500"/>
      <c r="J2" s="3500"/>
    </row>
    <row r="3" spans="1:25" ht="15.5" hidden="1" x14ac:dyDescent="0.35">
      <c r="A3" s="2290"/>
      <c r="B3" s="2290"/>
      <c r="C3" s="2290"/>
      <c r="D3" s="2290"/>
      <c r="E3" s="2290"/>
      <c r="F3" s="2290"/>
      <c r="G3" s="2290"/>
      <c r="H3" s="3500" t="s">
        <v>449</v>
      </c>
      <c r="I3" s="3500"/>
      <c r="J3" s="3500"/>
    </row>
    <row r="4" spans="1:25" ht="15.5" hidden="1" x14ac:dyDescent="0.35">
      <c r="A4" s="2290"/>
      <c r="B4" s="2290"/>
      <c r="C4" s="2290"/>
      <c r="D4" s="2290"/>
      <c r="E4" s="2290"/>
      <c r="F4" s="2290"/>
      <c r="G4" s="2290"/>
      <c r="H4" s="3500" t="s">
        <v>448</v>
      </c>
      <c r="I4" s="3500"/>
      <c r="J4" s="3500"/>
    </row>
    <row r="5" spans="1:25" ht="15.5" hidden="1" x14ac:dyDescent="0.35">
      <c r="A5" s="2290"/>
      <c r="B5" s="2290"/>
      <c r="C5" s="2290"/>
      <c r="D5" s="2290"/>
      <c r="E5" s="2290"/>
      <c r="F5" s="2290"/>
      <c r="G5" s="2290"/>
      <c r="H5" s="3500" t="s">
        <v>1200</v>
      </c>
      <c r="I5" s="3500"/>
      <c r="J5" s="3500"/>
    </row>
    <row r="6" spans="1:25" ht="15.5" hidden="1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385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385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258" t="s">
        <v>1223</v>
      </c>
      <c r="I11" s="3258"/>
      <c r="J11" s="3258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670" t="s">
        <v>983</v>
      </c>
      <c r="C14" s="3670"/>
      <c r="D14" s="3670"/>
      <c r="E14" s="3670"/>
      <c r="F14" s="3670"/>
      <c r="G14" s="3670"/>
      <c r="H14" s="3670"/>
      <c r="I14" s="3670"/>
      <c r="J14" s="3670"/>
    </row>
    <row r="15" spans="1:25" ht="20.149999999999999" customHeight="1" x14ac:dyDescent="0.35">
      <c r="A15" s="3499" t="s">
        <v>869</v>
      </c>
      <c r="B15" s="3499"/>
      <c r="C15" s="3499"/>
      <c r="D15" s="3499"/>
      <c r="E15" s="3499"/>
      <c r="F15" s="3499"/>
      <c r="G15" s="3499"/>
      <c r="H15" s="3499"/>
      <c r="I15" s="3499"/>
      <c r="J15" s="3499"/>
      <c r="K15" s="2253"/>
    </row>
    <row r="16" spans="1:25" ht="15.75" customHeight="1" x14ac:dyDescent="0.35">
      <c r="A16" s="2998" t="s">
        <v>1195</v>
      </c>
      <c r="B16" s="2998"/>
      <c r="C16" s="2998"/>
      <c r="D16" s="2998"/>
      <c r="E16" s="2998"/>
      <c r="F16" s="2998"/>
      <c r="G16" s="2998"/>
      <c r="H16" s="2998"/>
      <c r="I16" s="2998"/>
      <c r="J16" s="2998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58"/>
      <c r="D17" s="2358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59" t="s">
        <v>611</v>
      </c>
      <c r="C18" s="2360" t="s">
        <v>980</v>
      </c>
      <c r="D18" s="2360" t="s">
        <v>609</v>
      </c>
      <c r="E18" s="2360" t="s">
        <v>608</v>
      </c>
      <c r="F18" s="2360" t="s">
        <v>607</v>
      </c>
      <c r="G18" s="2360" t="s">
        <v>606</v>
      </c>
      <c r="H18" s="2360" t="s">
        <v>982</v>
      </c>
      <c r="I18" s="2360" t="s">
        <v>1042</v>
      </c>
      <c r="J18" s="2361" t="s">
        <v>1204</v>
      </c>
    </row>
    <row r="19" spans="1:10" ht="123" customHeight="1" x14ac:dyDescent="0.3">
      <c r="A19" s="2290"/>
      <c r="B19" s="2362">
        <v>1</v>
      </c>
      <c r="C19" s="2363" t="s">
        <v>987</v>
      </c>
      <c r="D19" s="2364" t="s">
        <v>452</v>
      </c>
      <c r="E19" s="2364" t="s">
        <v>539</v>
      </c>
      <c r="F19" s="2364" t="s">
        <v>214</v>
      </c>
      <c r="G19" s="2364"/>
      <c r="H19" s="2365">
        <f>H21+H23</f>
        <v>1984</v>
      </c>
      <c r="I19" s="2365">
        <f>I21+I23</f>
        <v>1331.5</v>
      </c>
      <c r="J19" s="2366">
        <f>J20</f>
        <v>948.3</v>
      </c>
    </row>
    <row r="20" spans="1:10" s="2254" customFormat="1" ht="55" customHeight="1" x14ac:dyDescent="0.35">
      <c r="A20" s="2311"/>
      <c r="B20" s="2367"/>
      <c r="C20" s="2368" t="s">
        <v>988</v>
      </c>
      <c r="D20" s="2364" t="s">
        <v>452</v>
      </c>
      <c r="E20" s="2364" t="s">
        <v>539</v>
      </c>
      <c r="F20" s="2364" t="s">
        <v>984</v>
      </c>
      <c r="G20" s="2369"/>
      <c r="H20" s="2370">
        <f>H21</f>
        <v>1600.8</v>
      </c>
      <c r="I20" s="2370">
        <f>I21</f>
        <v>948.3</v>
      </c>
      <c r="J20" s="2371">
        <f>J21+J23</f>
        <v>948.3</v>
      </c>
    </row>
    <row r="21" spans="1:10" s="2254" customFormat="1" ht="41.15" customHeight="1" x14ac:dyDescent="0.35">
      <c r="A21" s="2311"/>
      <c r="B21" s="2367"/>
      <c r="C21" s="2368" t="s">
        <v>1210</v>
      </c>
      <c r="D21" s="2364" t="s">
        <v>452</v>
      </c>
      <c r="E21" s="2364" t="s">
        <v>539</v>
      </c>
      <c r="F21" s="2364" t="s">
        <v>984</v>
      </c>
      <c r="G21" s="2372" t="s">
        <v>1</v>
      </c>
      <c r="H21" s="2370">
        <f>948.3+652.5</f>
        <v>1600.8</v>
      </c>
      <c r="I21" s="2370">
        <v>948.3</v>
      </c>
      <c r="J21" s="2371">
        <v>948.3</v>
      </c>
    </row>
    <row r="22" spans="1:10" s="2254" customFormat="1" ht="33.75" customHeight="1" x14ac:dyDescent="0.35">
      <c r="A22" s="2311"/>
      <c r="B22" s="2367"/>
      <c r="C22" s="2368" t="s">
        <v>619</v>
      </c>
      <c r="D22" s="2364" t="s">
        <v>452</v>
      </c>
      <c r="E22" s="2364" t="s">
        <v>539</v>
      </c>
      <c r="F22" s="2364" t="s">
        <v>213</v>
      </c>
      <c r="G22" s="2372"/>
      <c r="H22" s="2370">
        <f>H23</f>
        <v>383.2</v>
      </c>
      <c r="I22" s="2370">
        <f>I23</f>
        <v>383.2</v>
      </c>
      <c r="J22" s="2371">
        <f>J23</f>
        <v>0</v>
      </c>
    </row>
    <row r="23" spans="1:10" s="2254" customFormat="1" ht="52.5" customHeight="1" x14ac:dyDescent="0.35">
      <c r="A23" s="2311"/>
      <c r="B23" s="2367"/>
      <c r="C23" s="2368" t="s">
        <v>1150</v>
      </c>
      <c r="D23" s="2364" t="s">
        <v>452</v>
      </c>
      <c r="E23" s="2364" t="s">
        <v>539</v>
      </c>
      <c r="F23" s="2364" t="s">
        <v>213</v>
      </c>
      <c r="G23" s="2372" t="s">
        <v>1</v>
      </c>
      <c r="H23" s="2370">
        <v>383.2</v>
      </c>
      <c r="I23" s="2370">
        <v>383.2</v>
      </c>
      <c r="J23" s="2371"/>
    </row>
    <row r="24" spans="1:10" s="2254" customFormat="1" ht="52.5" hidden="1" customHeight="1" x14ac:dyDescent="0.35">
      <c r="A24" s="2311"/>
      <c r="B24" s="2373"/>
      <c r="C24" s="2374"/>
      <c r="D24" s="2364" t="s">
        <v>452</v>
      </c>
      <c r="E24" s="2364" t="s">
        <v>539</v>
      </c>
      <c r="F24" s="2364" t="s">
        <v>205</v>
      </c>
      <c r="G24" s="2372" t="s">
        <v>1</v>
      </c>
      <c r="H24" s="2375"/>
      <c r="I24" s="2375"/>
      <c r="J24" s="2376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377">
        <f>H19</f>
        <v>1984</v>
      </c>
      <c r="I25" s="2377">
        <f>I19</f>
        <v>1331.5</v>
      </c>
      <c r="J25" s="2378">
        <f>J19</f>
        <v>948.3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P16" sqref="P1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559" t="s">
        <v>978</v>
      </c>
      <c r="H1" s="3559"/>
      <c r="I1" s="3559"/>
      <c r="J1" s="3559"/>
    </row>
    <row r="2" spans="1:15" ht="15.5" x14ac:dyDescent="0.35">
      <c r="A2" s="554"/>
      <c r="B2" s="554"/>
      <c r="C2" s="554"/>
      <c r="D2" s="554"/>
      <c r="E2" s="554"/>
      <c r="F2" s="3559" t="s">
        <v>797</v>
      </c>
      <c r="G2" s="3559"/>
      <c r="H2" s="3559"/>
      <c r="I2" s="554"/>
      <c r="J2" s="554"/>
    </row>
    <row r="3" spans="1:15" ht="15.5" x14ac:dyDescent="0.35">
      <c r="A3" s="554"/>
      <c r="B3" s="3559" t="s">
        <v>449</v>
      </c>
      <c r="C3" s="3559"/>
      <c r="D3" s="3559"/>
      <c r="E3" s="3559"/>
      <c r="F3" s="3559"/>
      <c r="G3" s="3559"/>
      <c r="H3" s="3559"/>
      <c r="I3" s="3559"/>
      <c r="J3" s="3559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559" t="s">
        <v>798</v>
      </c>
      <c r="E4" s="3559"/>
      <c r="F4" s="3559"/>
      <c r="G4" s="3559"/>
      <c r="H4" s="3559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258" t="s">
        <v>1223</v>
      </c>
      <c r="G5" s="3258"/>
      <c r="H5" s="3258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2355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2355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558"/>
      <c r="B12" s="3558"/>
      <c r="C12" s="3558"/>
      <c r="D12" s="3558"/>
      <c r="E12" s="3558"/>
      <c r="F12" s="3558"/>
    </row>
    <row r="13" spans="1:15" ht="69.75" customHeight="1" x14ac:dyDescent="0.3">
      <c r="A13" s="3562" t="s">
        <v>823</v>
      </c>
      <c r="B13" s="3562"/>
      <c r="C13" s="3562"/>
      <c r="D13" s="3562"/>
      <c r="E13" s="3562"/>
      <c r="F13" s="3562"/>
      <c r="G13" s="3562"/>
      <c r="H13" s="3562"/>
      <c r="I13" s="3562"/>
      <c r="J13" s="3562"/>
      <c r="L13" s="559" t="s">
        <v>106</v>
      </c>
    </row>
    <row r="14" spans="1:15" ht="15" customHeight="1" x14ac:dyDescent="0.3">
      <c r="A14" s="2357"/>
      <c r="B14" s="3562" t="s">
        <v>1201</v>
      </c>
      <c r="C14" s="3562"/>
      <c r="D14" s="3562"/>
      <c r="E14" s="3562"/>
      <c r="F14" s="3562"/>
      <c r="G14" s="3562"/>
      <c r="H14" s="3562"/>
      <c r="I14" s="3562"/>
      <c r="J14" s="3562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563" t="s">
        <v>322</v>
      </c>
      <c r="C16" s="3563"/>
      <c r="D16" s="3563"/>
      <c r="E16" s="3563"/>
      <c r="F16" s="3563"/>
      <c r="G16" s="3563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806.84199999999998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386.19200000000001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57.192</v>
      </c>
      <c r="I19" s="574"/>
      <c r="J19" s="575"/>
    </row>
    <row r="20" spans="1:14" s="564" customFormat="1" ht="52" hidden="1" x14ac:dyDescent="0.25">
      <c r="A20" s="571"/>
      <c r="B20" s="235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57.192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57.192</v>
      </c>
      <c r="I21" s="574"/>
      <c r="J21" s="575"/>
    </row>
    <row r="22" spans="1:14" s="580" customFormat="1" ht="38.5" customHeight="1" x14ac:dyDescent="0.35">
      <c r="A22" s="576"/>
      <c r="B22" s="3564" t="s">
        <v>824</v>
      </c>
      <c r="C22" s="3564"/>
      <c r="D22" s="3564"/>
      <c r="E22" s="3564"/>
      <c r="F22" s="3564"/>
      <c r="G22" s="3564"/>
      <c r="H22" s="729">
        <v>57.192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565" t="s">
        <v>826</v>
      </c>
      <c r="C24" s="3565"/>
      <c r="D24" s="3565"/>
      <c r="E24" s="3565"/>
      <c r="F24" s="3565"/>
      <c r="G24" s="3565"/>
      <c r="H24" s="729">
        <v>329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566" t="s">
        <v>825</v>
      </c>
      <c r="C27" s="3566"/>
      <c r="D27" s="3566"/>
      <c r="E27" s="3566"/>
      <c r="F27" s="3566"/>
      <c r="G27" s="3566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420.65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420.65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2356" t="s">
        <v>156</v>
      </c>
      <c r="C32" s="715"/>
      <c r="D32" s="669"/>
      <c r="E32" s="669"/>
      <c r="F32" s="714"/>
      <c r="G32" s="716"/>
      <c r="H32" s="729">
        <f>H33</f>
        <v>420.65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420.65</v>
      </c>
      <c r="I33" s="578"/>
      <c r="J33" s="579"/>
      <c r="N33" s="1"/>
    </row>
    <row r="34" spans="1:14" s="580" customFormat="1" ht="54" customHeight="1" x14ac:dyDescent="0.35">
      <c r="A34" s="576"/>
      <c r="B34" s="3560" t="s">
        <v>586</v>
      </c>
      <c r="C34" s="3560"/>
      <c r="D34" s="3560"/>
      <c r="E34" s="3560"/>
      <c r="F34" s="3560"/>
      <c r="G34" s="3560"/>
      <c r="H34" s="730">
        <v>420.65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561" t="s">
        <v>828</v>
      </c>
      <c r="C36" s="3561"/>
      <c r="D36" s="3561"/>
      <c r="E36" s="3561"/>
      <c r="F36" s="3561"/>
      <c r="G36" s="3561"/>
      <c r="H36" s="924">
        <f>H22+H24+H27+H34</f>
        <v>806.84199999999998</v>
      </c>
    </row>
    <row r="186" ht="80.5" customHeight="1" x14ac:dyDescent="0.25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opLeftCell="B2" zoomScale="75" zoomScaleNormal="75" workbookViewId="0">
      <selection activeCell="K41" sqref="K41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256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4.15" customHeight="1" x14ac:dyDescent="0.35">
      <c r="E1" s="3500" t="s">
        <v>946</v>
      </c>
      <c r="F1" s="3500"/>
      <c r="G1" s="3500"/>
    </row>
    <row r="2" spans="1:18" ht="14.15" customHeight="1" x14ac:dyDescent="0.35">
      <c r="E2" s="3500" t="s">
        <v>450</v>
      </c>
      <c r="F2" s="3500"/>
      <c r="G2" s="3500"/>
    </row>
    <row r="3" spans="1:18" ht="15.65" customHeight="1" x14ac:dyDescent="0.35">
      <c r="E3" s="3500" t="s">
        <v>449</v>
      </c>
      <c r="F3" s="3500"/>
      <c r="G3" s="3500"/>
    </row>
    <row r="4" spans="1:18" ht="15.65" customHeight="1" x14ac:dyDescent="0.35">
      <c r="E4" s="3500" t="s">
        <v>448</v>
      </c>
      <c r="F4" s="3500"/>
      <c r="G4" s="3500"/>
    </row>
    <row r="5" spans="1:18" ht="12.65" customHeight="1" x14ac:dyDescent="0.35">
      <c r="E5" s="3500" t="str">
        <f>'прил 5 2021-2023'!$V$5</f>
        <v xml:space="preserve">    от  " 22 " сентября  2021 года № 221 </v>
      </c>
      <c r="F5" s="3500"/>
      <c r="G5" s="3500"/>
    </row>
    <row r="6" spans="1:18" ht="13.5" customHeight="1" x14ac:dyDescent="0.35">
      <c r="E6" s="2261"/>
      <c r="F6" s="2261"/>
      <c r="G6" s="2261"/>
    </row>
    <row r="7" spans="1:18" ht="15.5" x14ac:dyDescent="0.35">
      <c r="E7" s="2261"/>
      <c r="F7" s="3557" t="s">
        <v>616</v>
      </c>
      <c r="G7" s="3557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31"/>
      <c r="F8" s="2331"/>
      <c r="G8" s="2292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31"/>
      <c r="F9" s="2331"/>
      <c r="G9" s="2292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31"/>
      <c r="F10" s="2331"/>
      <c r="G10" s="2292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31"/>
      <c r="F11" s="2331"/>
      <c r="G11" s="2288" t="s">
        <v>1224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174"/>
      <c r="F12" s="2174"/>
      <c r="G12" s="2247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549" t="s">
        <v>868</v>
      </c>
      <c r="B13" s="3549"/>
      <c r="C13" s="3549"/>
      <c r="D13" s="3549"/>
      <c r="E13" s="3549"/>
      <c r="F13" s="3549"/>
      <c r="G13" s="3549"/>
      <c r="H13" s="2257"/>
      <c r="I13" s="2257"/>
      <c r="J13" s="2257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549" t="s">
        <v>869</v>
      </c>
      <c r="B14" s="3549"/>
      <c r="C14" s="3549"/>
      <c r="D14" s="3549"/>
      <c r="E14" s="3549"/>
      <c r="F14" s="3549"/>
      <c r="G14" s="3549"/>
      <c r="H14" s="2257"/>
      <c r="I14" s="2257"/>
      <c r="J14" s="2257"/>
    </row>
    <row r="15" spans="1:18" ht="15" x14ac:dyDescent="0.3">
      <c r="A15" s="3549" t="s">
        <v>1199</v>
      </c>
      <c r="B15" s="3549"/>
      <c r="C15" s="3549"/>
      <c r="D15" s="3549"/>
      <c r="E15" s="3549"/>
      <c r="F15" s="3549"/>
      <c r="G15" s="3549"/>
      <c r="H15" s="2257"/>
      <c r="I15" s="2257"/>
      <c r="J15" s="2257"/>
    </row>
    <row r="16" spans="1:18" s="2261" customFormat="1" ht="18.75" hidden="1" customHeight="1" x14ac:dyDescent="0.35">
      <c r="A16" s="2258"/>
      <c r="B16" s="2258"/>
      <c r="C16" s="2258"/>
      <c r="D16" s="2259"/>
      <c r="E16" s="2259"/>
      <c r="F16" s="2259"/>
      <c r="G16" s="2260"/>
      <c r="H16" s="2260"/>
    </row>
    <row r="17" spans="1:10" s="2261" customFormat="1" ht="16" thickBot="1" x14ac:dyDescent="0.4">
      <c r="A17" s="3550"/>
      <c r="B17" s="3550"/>
      <c r="C17" s="3550"/>
      <c r="D17" s="3550"/>
      <c r="E17" s="3550"/>
      <c r="F17" s="3550"/>
      <c r="G17" s="2262" t="s">
        <v>1092</v>
      </c>
    </row>
    <row r="18" spans="1:10" ht="29.25" customHeight="1" x14ac:dyDescent="0.3">
      <c r="A18" s="3551" t="s">
        <v>1073</v>
      </c>
      <c r="B18" s="3553" t="s">
        <v>1074</v>
      </c>
      <c r="C18" s="3553" t="s">
        <v>1075</v>
      </c>
      <c r="D18" s="3553" t="s">
        <v>1076</v>
      </c>
      <c r="E18" s="3553"/>
      <c r="F18" s="3553"/>
      <c r="G18" s="3555" t="s">
        <v>1077</v>
      </c>
    </row>
    <row r="19" spans="1:10" ht="29.25" customHeight="1" thickBot="1" x14ac:dyDescent="0.35">
      <c r="A19" s="3552"/>
      <c r="B19" s="3554"/>
      <c r="C19" s="3554"/>
      <c r="D19" s="2263" t="s">
        <v>899</v>
      </c>
      <c r="E19" s="2263" t="s">
        <v>997</v>
      </c>
      <c r="F19" s="2263" t="s">
        <v>1197</v>
      </c>
      <c r="G19" s="3556"/>
    </row>
    <row r="20" spans="1:10" ht="33.75" customHeight="1" thickBot="1" x14ac:dyDescent="0.35">
      <c r="A20" s="3528" t="s">
        <v>884</v>
      </c>
      <c r="B20" s="3529"/>
      <c r="C20" s="3529"/>
      <c r="D20" s="3529"/>
      <c r="E20" s="3529"/>
      <c r="F20" s="3529"/>
      <c r="G20" s="3530"/>
    </row>
    <row r="21" spans="1:10" ht="33.75" customHeight="1" thickBot="1" x14ac:dyDescent="0.35">
      <c r="A21" s="2264" t="s">
        <v>1131</v>
      </c>
      <c r="B21" s="2265"/>
      <c r="C21" s="2269"/>
      <c r="D21" s="2266">
        <f>D24+D41</f>
        <v>9302.8870000000006</v>
      </c>
      <c r="E21" s="2267">
        <f>E24+E41</f>
        <v>172.47</v>
      </c>
      <c r="F21" s="2268">
        <f>F24+F41</f>
        <v>124.16</v>
      </c>
      <c r="G21" s="2265"/>
    </row>
    <row r="22" spans="1:10" ht="27.75" customHeight="1" x14ac:dyDescent="0.3">
      <c r="A22" s="3531" t="s">
        <v>1132</v>
      </c>
      <c r="B22" s="3534" t="s">
        <v>1090</v>
      </c>
      <c r="C22" s="2393" t="s">
        <v>1080</v>
      </c>
      <c r="D22" s="2429">
        <f>119.8-33.24</f>
        <v>86.56</v>
      </c>
      <c r="E22" s="2429">
        <f>1514.38-1514.38</f>
        <v>0</v>
      </c>
      <c r="F22" s="2430">
        <v>0</v>
      </c>
      <c r="G22" s="3526">
        <v>2022</v>
      </c>
    </row>
    <row r="23" spans="1:10" ht="27.75" customHeight="1" thickBot="1" x14ac:dyDescent="0.35">
      <c r="A23" s="3532"/>
      <c r="B23" s="3535"/>
      <c r="C23" s="2390" t="s">
        <v>1081</v>
      </c>
      <c r="D23" s="2431">
        <f>5868.75-1628.99</f>
        <v>4239.76</v>
      </c>
      <c r="E23" s="2431">
        <f>14400-14400</f>
        <v>0</v>
      </c>
      <c r="F23" s="2432">
        <v>0</v>
      </c>
      <c r="G23" s="3507"/>
    </row>
    <row r="24" spans="1:10" ht="43" customHeight="1" thickBot="1" x14ac:dyDescent="0.35">
      <c r="A24" s="3533"/>
      <c r="B24" s="3536"/>
      <c r="C24" s="2394" t="s">
        <v>1082</v>
      </c>
      <c r="D24" s="2433">
        <f>SUM(D22:D23)</f>
        <v>4326.3200000000006</v>
      </c>
      <c r="E24" s="2434">
        <f>SUM(E22:E23)</f>
        <v>0</v>
      </c>
      <c r="F24" s="2433">
        <f>SUM(F22:F23)</f>
        <v>0</v>
      </c>
      <c r="G24" s="3527"/>
    </row>
    <row r="25" spans="1:10" ht="34" hidden="1" customHeight="1" x14ac:dyDescent="0.3">
      <c r="A25" s="3537"/>
      <c r="B25" s="3538"/>
      <c r="C25" s="3538"/>
      <c r="D25" s="3538"/>
      <c r="E25" s="3538"/>
      <c r="F25" s="3539"/>
      <c r="G25" s="3526">
        <v>2022</v>
      </c>
    </row>
    <row r="26" spans="1:10" ht="35.5" hidden="1" customHeight="1" x14ac:dyDescent="0.3">
      <c r="A26" s="3540" t="s">
        <v>1083</v>
      </c>
      <c r="B26" s="3541" t="s">
        <v>1079</v>
      </c>
      <c r="C26" s="2250" t="s">
        <v>1080</v>
      </c>
      <c r="D26" s="2270">
        <v>0</v>
      </c>
      <c r="E26" s="2270">
        <v>0</v>
      </c>
      <c r="F26" s="2271">
        <v>0</v>
      </c>
      <c r="G26" s="3507"/>
      <c r="H26" s="2275"/>
      <c r="I26" s="2275"/>
      <c r="J26" s="2275"/>
    </row>
    <row r="27" spans="1:10" ht="35.5" hidden="1" customHeight="1" x14ac:dyDescent="0.3">
      <c r="A27" s="3540"/>
      <c r="B27" s="3541"/>
      <c r="C27" s="2250" t="s">
        <v>1081</v>
      </c>
      <c r="D27" s="2270">
        <v>0</v>
      </c>
      <c r="E27" s="2270">
        <v>0</v>
      </c>
      <c r="F27" s="2271">
        <v>0</v>
      </c>
      <c r="G27" s="3507"/>
      <c r="H27" s="2275"/>
      <c r="I27" s="2275"/>
      <c r="J27" s="2275"/>
    </row>
    <row r="28" spans="1:10" ht="35.5" hidden="1" customHeight="1" x14ac:dyDescent="0.3">
      <c r="A28" s="3540"/>
      <c r="B28" s="3541"/>
      <c r="C28" s="2250" t="s">
        <v>1082</v>
      </c>
      <c r="D28" s="2270">
        <f>SUM(D26:D27)</f>
        <v>0</v>
      </c>
      <c r="E28" s="2270">
        <f>SUM(E26:E27)</f>
        <v>0</v>
      </c>
      <c r="F28" s="2271">
        <f>SUM(F26:F27)</f>
        <v>0</v>
      </c>
      <c r="G28" s="3507"/>
      <c r="H28" s="2275"/>
      <c r="I28" s="2275"/>
      <c r="J28" s="2275"/>
    </row>
    <row r="29" spans="1:10" ht="28.5" hidden="1" customHeight="1" x14ac:dyDescent="0.3">
      <c r="A29" s="3540" t="s">
        <v>1084</v>
      </c>
      <c r="B29" s="3541" t="s">
        <v>1079</v>
      </c>
      <c r="C29" s="2250" t="s">
        <v>1080</v>
      </c>
      <c r="D29" s="2270">
        <v>0</v>
      </c>
      <c r="E29" s="2270">
        <v>0</v>
      </c>
      <c r="F29" s="2271">
        <v>0</v>
      </c>
      <c r="G29" s="3507"/>
      <c r="H29" s="2275"/>
      <c r="I29" s="2275"/>
      <c r="J29" s="2275"/>
    </row>
    <row r="30" spans="1:10" ht="28.5" hidden="1" customHeight="1" x14ac:dyDescent="0.3">
      <c r="A30" s="3540"/>
      <c r="B30" s="3541"/>
      <c r="C30" s="2250" t="s">
        <v>1081</v>
      </c>
      <c r="D30" s="2270">
        <v>0</v>
      </c>
      <c r="E30" s="2270">
        <v>0</v>
      </c>
      <c r="F30" s="2271">
        <v>0</v>
      </c>
      <c r="G30" s="3507"/>
      <c r="H30" s="2275"/>
      <c r="I30" s="2275"/>
      <c r="J30" s="2275"/>
    </row>
    <row r="31" spans="1:10" ht="28.5" hidden="1" customHeight="1" x14ac:dyDescent="0.3">
      <c r="A31" s="3540"/>
      <c r="B31" s="3541"/>
      <c r="C31" s="2250" t="s">
        <v>1082</v>
      </c>
      <c r="D31" s="2270">
        <f>SUM(D29:D30)</f>
        <v>0</v>
      </c>
      <c r="E31" s="2270">
        <f>SUM(E29:E30)</f>
        <v>0</v>
      </c>
      <c r="F31" s="2271">
        <f>SUM(F29:F30)</f>
        <v>0</v>
      </c>
      <c r="G31" s="3507"/>
      <c r="H31" s="2275"/>
      <c r="I31" s="2275"/>
      <c r="J31" s="2275"/>
    </row>
    <row r="32" spans="1:10" ht="28.5" hidden="1" customHeight="1" x14ac:dyDescent="0.3">
      <c r="A32" s="3540" t="s">
        <v>1085</v>
      </c>
      <c r="B32" s="3541" t="s">
        <v>1079</v>
      </c>
      <c r="C32" s="2250" t="s">
        <v>1080</v>
      </c>
      <c r="D32" s="2270">
        <v>0</v>
      </c>
      <c r="E32" s="2270">
        <v>0</v>
      </c>
      <c r="F32" s="2271">
        <v>0</v>
      </c>
      <c r="G32" s="3507"/>
      <c r="H32" s="2275"/>
      <c r="I32" s="2275"/>
      <c r="J32" s="2275"/>
    </row>
    <row r="33" spans="1:10" ht="28.5" hidden="1" customHeight="1" x14ac:dyDescent="0.3">
      <c r="A33" s="3540"/>
      <c r="B33" s="3541"/>
      <c r="C33" s="2250" t="s">
        <v>1081</v>
      </c>
      <c r="D33" s="2270">
        <v>0</v>
      </c>
      <c r="E33" s="2270">
        <v>0</v>
      </c>
      <c r="F33" s="2271">
        <v>0</v>
      </c>
      <c r="G33" s="3507"/>
      <c r="H33" s="2275"/>
      <c r="I33" s="2275"/>
      <c r="J33" s="2275"/>
    </row>
    <row r="34" spans="1:10" ht="28.5" hidden="1" customHeight="1" x14ac:dyDescent="0.3">
      <c r="A34" s="3540"/>
      <c r="B34" s="3504"/>
      <c r="C34" s="2250" t="s">
        <v>1082</v>
      </c>
      <c r="D34" s="2270">
        <f>SUM(D32:D33)</f>
        <v>0</v>
      </c>
      <c r="E34" s="2270">
        <f>SUM(E32:E33)</f>
        <v>0</v>
      </c>
      <c r="F34" s="2271">
        <f>SUM(F32:F33)</f>
        <v>0</v>
      </c>
      <c r="G34" s="3507"/>
      <c r="H34" s="2275"/>
      <c r="I34" s="2275"/>
      <c r="J34" s="2275"/>
    </row>
    <row r="35" spans="1:10" s="2277" customFormat="1" ht="28.5" customHeight="1" x14ac:dyDescent="0.3">
      <c r="A35" s="3542" t="s">
        <v>1133</v>
      </c>
      <c r="B35" s="3545" t="s">
        <v>1090</v>
      </c>
      <c r="C35" s="337" t="s">
        <v>1080</v>
      </c>
      <c r="D35" s="2435">
        <f>33.112+139.358+600+826.097</f>
        <v>1598.567</v>
      </c>
      <c r="E35" s="2435">
        <f>33.112+139.358</f>
        <v>172.47</v>
      </c>
      <c r="F35" s="2436"/>
      <c r="G35" s="3507"/>
      <c r="H35" s="2276"/>
      <c r="I35" s="2276"/>
      <c r="J35" s="2276"/>
    </row>
    <row r="36" spans="1:10" s="2277" customFormat="1" ht="28.5" customHeight="1" thickBot="1" x14ac:dyDescent="0.35">
      <c r="A36" s="3543"/>
      <c r="B36" s="3546"/>
      <c r="C36" s="2390" t="s">
        <v>1081</v>
      </c>
      <c r="D36" s="2431">
        <v>3278</v>
      </c>
      <c r="E36" s="2431">
        <v>3278</v>
      </c>
      <c r="F36" s="2432">
        <f t="shared" ref="F36" si="0">F27+F30+F33</f>
        <v>0</v>
      </c>
      <c r="G36" s="3507"/>
      <c r="H36" s="2276"/>
      <c r="I36" s="2276"/>
      <c r="J36" s="2276"/>
    </row>
    <row r="37" spans="1:10" s="2277" customFormat="1" ht="74.25" customHeight="1" thickBot="1" x14ac:dyDescent="0.35">
      <c r="A37" s="3544"/>
      <c r="B37" s="3546"/>
      <c r="C37" s="2391" t="s">
        <v>1134</v>
      </c>
      <c r="D37" s="2437">
        <f>D35+D36</f>
        <v>4876.567</v>
      </c>
      <c r="E37" s="2437">
        <f>E35</f>
        <v>172.47</v>
      </c>
      <c r="F37" s="2438">
        <f>F35</f>
        <v>0</v>
      </c>
      <c r="G37" s="3527"/>
      <c r="H37" s="2276"/>
      <c r="I37" s="2276"/>
      <c r="J37" s="2276"/>
    </row>
    <row r="38" spans="1:10" s="2277" customFormat="1" ht="32.5" customHeight="1" x14ac:dyDescent="0.3">
      <c r="A38" s="3542" t="s">
        <v>1135</v>
      </c>
      <c r="B38" s="3546"/>
      <c r="C38" s="2392" t="s">
        <v>1080</v>
      </c>
      <c r="D38" s="2439">
        <f>0.96+4.04</f>
        <v>5</v>
      </c>
      <c r="E38" s="2439"/>
      <c r="F38" s="2440">
        <f>23.92+100.24</f>
        <v>124.16</v>
      </c>
      <c r="G38" s="3526">
        <v>2023</v>
      </c>
      <c r="H38" s="2276"/>
      <c r="I38" s="2276"/>
      <c r="J38" s="2276"/>
    </row>
    <row r="39" spans="1:10" s="2277" customFormat="1" ht="30.65" customHeight="1" thickBot="1" x14ac:dyDescent="0.35">
      <c r="A39" s="3543"/>
      <c r="B39" s="3546"/>
      <c r="C39" s="2390" t="s">
        <v>1081</v>
      </c>
      <c r="D39" s="2431">
        <f>95</f>
        <v>95</v>
      </c>
      <c r="E39" s="2431"/>
      <c r="F39" s="2432">
        <v>2368</v>
      </c>
      <c r="G39" s="3507"/>
      <c r="H39" s="2276"/>
      <c r="I39" s="2276"/>
      <c r="J39" s="2276"/>
    </row>
    <row r="40" spans="1:10" s="2277" customFormat="1" ht="32.5" customHeight="1" thickBot="1" x14ac:dyDescent="0.35">
      <c r="A40" s="3543"/>
      <c r="B40" s="3546"/>
      <c r="C40" s="2394" t="s">
        <v>1134</v>
      </c>
      <c r="D40" s="2433">
        <f>D38+D39</f>
        <v>100</v>
      </c>
      <c r="E40" s="2433">
        <f>E38</f>
        <v>0</v>
      </c>
      <c r="F40" s="2441">
        <f>F38</f>
        <v>124.16</v>
      </c>
      <c r="G40" s="3507"/>
      <c r="H40" s="2276"/>
      <c r="I40" s="2276"/>
      <c r="J40" s="2276"/>
    </row>
    <row r="41" spans="1:10" s="2277" customFormat="1" ht="32.5" customHeight="1" thickBot="1" x14ac:dyDescent="0.35">
      <c r="A41" s="3548"/>
      <c r="B41" s="3547"/>
      <c r="C41" s="2398" t="s">
        <v>1082</v>
      </c>
      <c r="D41" s="2433">
        <f>D37+D40</f>
        <v>4976.567</v>
      </c>
      <c r="E41" s="2442">
        <f>E37+E40</f>
        <v>172.47</v>
      </c>
      <c r="F41" s="2433">
        <f>F37+F40</f>
        <v>124.16</v>
      </c>
      <c r="G41" s="3527"/>
      <c r="H41" s="2276"/>
      <c r="I41" s="2276"/>
      <c r="J41" s="2276"/>
    </row>
    <row r="42" spans="1:10" s="2277" customFormat="1" ht="13" hidden="1" customHeight="1" x14ac:dyDescent="0.3">
      <c r="A42" s="3517" t="s">
        <v>1177</v>
      </c>
      <c r="B42" s="3518"/>
      <c r="C42" s="3518"/>
      <c r="D42" s="3518"/>
      <c r="E42" s="3518"/>
      <c r="F42" s="3518"/>
      <c r="G42" s="3519"/>
      <c r="H42" s="2276"/>
      <c r="I42" s="2276"/>
      <c r="J42" s="2276"/>
    </row>
    <row r="43" spans="1:10" s="2277" customFormat="1" ht="13" hidden="1" customHeight="1" x14ac:dyDescent="0.3">
      <c r="A43" s="3520"/>
      <c r="B43" s="3521"/>
      <c r="C43" s="3521"/>
      <c r="D43" s="3521"/>
      <c r="E43" s="3521"/>
      <c r="F43" s="3521"/>
      <c r="G43" s="3522"/>
      <c r="H43" s="2276"/>
      <c r="I43" s="2276"/>
      <c r="J43" s="2276"/>
    </row>
    <row r="44" spans="1:10" s="2277" customFormat="1" ht="13.75" hidden="1" customHeight="1" thickBot="1" x14ac:dyDescent="0.35">
      <c r="A44" s="2278"/>
      <c r="B44" s="2279"/>
      <c r="C44" s="2279"/>
      <c r="D44" s="2279"/>
      <c r="E44" s="2279"/>
      <c r="F44" s="2280"/>
      <c r="G44" s="2281"/>
      <c r="H44" s="2276"/>
      <c r="I44" s="2276"/>
      <c r="J44" s="2276"/>
    </row>
    <row r="45" spans="1:10" s="2277" customFormat="1" ht="22.5" hidden="1" customHeight="1" thickBot="1" x14ac:dyDescent="0.35">
      <c r="A45" s="2335" t="s">
        <v>1131</v>
      </c>
      <c r="B45" s="2265"/>
      <c r="C45" s="2269"/>
      <c r="D45" s="2266">
        <v>0</v>
      </c>
      <c r="E45" s="2267">
        <f>E48+E51+E54+E57</f>
        <v>0</v>
      </c>
      <c r="F45" s="2268">
        <f>F46+F49+F52+F55</f>
        <v>0</v>
      </c>
      <c r="G45" s="2265"/>
      <c r="H45" s="2276"/>
      <c r="I45" s="2276"/>
      <c r="J45" s="2276"/>
    </row>
    <row r="46" spans="1:10" s="2277" customFormat="1" ht="25.15" hidden="1" customHeight="1" thickTop="1" x14ac:dyDescent="0.3">
      <c r="A46" s="3523" t="s">
        <v>1178</v>
      </c>
      <c r="B46" s="3524" t="s">
        <v>1090</v>
      </c>
      <c r="C46" s="2282" t="s">
        <v>1080</v>
      </c>
      <c r="D46" s="2283">
        <v>0</v>
      </c>
      <c r="E46" s="2283">
        <v>0</v>
      </c>
      <c r="F46" s="2353">
        <v>0</v>
      </c>
      <c r="G46" s="3525" t="s">
        <v>1181</v>
      </c>
      <c r="H46" s="2276"/>
      <c r="I46" s="2276"/>
      <c r="J46" s="2276"/>
    </row>
    <row r="47" spans="1:10" s="2277" customFormat="1" ht="23.25" hidden="1" customHeight="1" thickBot="1" x14ac:dyDescent="0.35">
      <c r="A47" s="3502"/>
      <c r="B47" s="3505"/>
      <c r="C47" s="2336" t="s">
        <v>1081</v>
      </c>
      <c r="D47" s="2337">
        <v>0</v>
      </c>
      <c r="E47" s="2337">
        <v>0</v>
      </c>
      <c r="F47" s="2338">
        <v>0</v>
      </c>
      <c r="G47" s="3507"/>
      <c r="H47" s="2276"/>
      <c r="I47" s="2276"/>
      <c r="J47" s="2276"/>
    </row>
    <row r="48" spans="1:10" s="2277" customFormat="1" ht="28.5" hidden="1" customHeight="1" thickBot="1" x14ac:dyDescent="0.35">
      <c r="A48" s="3503"/>
      <c r="B48" s="3506"/>
      <c r="C48" s="2345" t="s">
        <v>1082</v>
      </c>
      <c r="D48" s="2346">
        <f>D46+D47</f>
        <v>0</v>
      </c>
      <c r="E48" s="2346">
        <f>E46+E47</f>
        <v>0</v>
      </c>
      <c r="F48" s="2346">
        <f>F46+F47</f>
        <v>0</v>
      </c>
      <c r="G48" s="3507"/>
      <c r="H48" s="2276"/>
      <c r="I48" s="2276"/>
      <c r="J48" s="2276"/>
    </row>
    <row r="49" spans="1:10" s="2277" customFormat="1" ht="23.25" hidden="1" customHeight="1" x14ac:dyDescent="0.3">
      <c r="A49" s="3501" t="s">
        <v>1179</v>
      </c>
      <c r="B49" s="3504" t="s">
        <v>1090</v>
      </c>
      <c r="C49" s="2284" t="s">
        <v>1080</v>
      </c>
      <c r="D49" s="2337">
        <v>0</v>
      </c>
      <c r="E49" s="2343">
        <v>0</v>
      </c>
      <c r="F49" s="2344">
        <v>0</v>
      </c>
      <c r="G49" s="3507"/>
      <c r="H49" s="2276"/>
      <c r="I49" s="2276"/>
      <c r="J49" s="2276"/>
    </row>
    <row r="50" spans="1:10" s="2277" customFormat="1" ht="23.25" hidden="1" customHeight="1" thickBot="1" x14ac:dyDescent="0.35">
      <c r="A50" s="3502"/>
      <c r="B50" s="3505"/>
      <c r="C50" s="2336" t="s">
        <v>1081</v>
      </c>
      <c r="D50" s="2337">
        <v>0</v>
      </c>
      <c r="E50" s="2337">
        <v>0</v>
      </c>
      <c r="F50" s="2337">
        <v>0</v>
      </c>
      <c r="G50" s="3507"/>
      <c r="H50" s="2276"/>
      <c r="I50" s="2276"/>
      <c r="J50" s="2276"/>
    </row>
    <row r="51" spans="1:10" s="2277" customFormat="1" ht="30" hidden="1" customHeight="1" thickBot="1" x14ac:dyDescent="0.35">
      <c r="A51" s="3503"/>
      <c r="B51" s="3506"/>
      <c r="C51" s="2345" t="s">
        <v>1082</v>
      </c>
      <c r="D51" s="2347">
        <f>D49+D50</f>
        <v>0</v>
      </c>
      <c r="E51" s="2347">
        <f>E49+E50</f>
        <v>0</v>
      </c>
      <c r="F51" s="2347">
        <f>F49+F50</f>
        <v>0</v>
      </c>
      <c r="G51" s="3507"/>
      <c r="H51" s="2276"/>
      <c r="I51" s="2276"/>
      <c r="J51" s="2276"/>
    </row>
    <row r="52" spans="1:10" s="2277" customFormat="1" ht="23.25" hidden="1" customHeight="1" x14ac:dyDescent="0.3">
      <c r="A52" s="3501" t="s">
        <v>1180</v>
      </c>
      <c r="B52" s="3504" t="s">
        <v>1090</v>
      </c>
      <c r="C52" s="2284" t="s">
        <v>1080</v>
      </c>
      <c r="D52" s="2337">
        <v>0</v>
      </c>
      <c r="E52" s="2343">
        <v>0</v>
      </c>
      <c r="F52" s="2344">
        <v>0</v>
      </c>
      <c r="G52" s="3507"/>
      <c r="H52" s="2276"/>
      <c r="I52" s="2276"/>
      <c r="J52" s="2276"/>
    </row>
    <row r="53" spans="1:10" s="2277" customFormat="1" ht="23.25" hidden="1" customHeight="1" thickBot="1" x14ac:dyDescent="0.35">
      <c r="A53" s="3502"/>
      <c r="B53" s="3505"/>
      <c r="C53" s="2336" t="s">
        <v>1081</v>
      </c>
      <c r="D53" s="2337">
        <v>0</v>
      </c>
      <c r="E53" s="2337">
        <v>0</v>
      </c>
      <c r="F53" s="2337">
        <v>0</v>
      </c>
      <c r="G53" s="3507"/>
      <c r="H53" s="2276"/>
      <c r="I53" s="2276"/>
      <c r="J53" s="2276"/>
    </row>
    <row r="54" spans="1:10" s="2277" customFormat="1" ht="29.25" hidden="1" customHeight="1" thickBot="1" x14ac:dyDescent="0.35">
      <c r="A54" s="3503"/>
      <c r="B54" s="3506"/>
      <c r="C54" s="2345" t="s">
        <v>1082</v>
      </c>
      <c r="D54" s="2347">
        <f>D52+D53</f>
        <v>0</v>
      </c>
      <c r="E54" s="2347">
        <v>0</v>
      </c>
      <c r="F54" s="2347">
        <f>F52+F53</f>
        <v>0</v>
      </c>
      <c r="G54" s="3507"/>
      <c r="H54" s="2276"/>
      <c r="I54" s="2276"/>
      <c r="J54" s="2276"/>
    </row>
    <row r="55" spans="1:10" s="2277" customFormat="1" ht="23.25" hidden="1" customHeight="1" x14ac:dyDescent="0.3">
      <c r="A55" s="3501" t="s">
        <v>1183</v>
      </c>
      <c r="B55" s="3504" t="s">
        <v>1090</v>
      </c>
      <c r="C55" s="2284" t="s">
        <v>1080</v>
      </c>
      <c r="D55" s="2337">
        <v>0</v>
      </c>
      <c r="E55" s="2343">
        <v>0</v>
      </c>
      <c r="F55" s="2344">
        <v>0</v>
      </c>
      <c r="G55" s="3507" t="s">
        <v>1182</v>
      </c>
      <c r="H55" s="2276"/>
      <c r="I55" s="2276"/>
      <c r="J55" s="2276"/>
    </row>
    <row r="56" spans="1:10" s="2277" customFormat="1" ht="23.25" hidden="1" customHeight="1" thickBot="1" x14ac:dyDescent="0.35">
      <c r="A56" s="3502"/>
      <c r="B56" s="3505"/>
      <c r="C56" s="2336" t="s">
        <v>1081</v>
      </c>
      <c r="D56" s="2337">
        <v>0</v>
      </c>
      <c r="E56" s="2337">
        <v>0</v>
      </c>
      <c r="F56" s="2337">
        <v>0</v>
      </c>
      <c r="G56" s="3507"/>
      <c r="H56" s="2276"/>
      <c r="I56" s="2276"/>
      <c r="J56" s="2276"/>
    </row>
    <row r="57" spans="1:10" s="2277" customFormat="1" ht="29.25" hidden="1" customHeight="1" thickBot="1" x14ac:dyDescent="0.35">
      <c r="A57" s="3503"/>
      <c r="B57" s="3506"/>
      <c r="C57" s="2352" t="s">
        <v>1082</v>
      </c>
      <c r="D57" s="2347">
        <f>D55+D56</f>
        <v>0</v>
      </c>
      <c r="E57" s="2347">
        <f>E55+E56</f>
        <v>0</v>
      </c>
      <c r="F57" s="2348">
        <f>F55+F56</f>
        <v>0</v>
      </c>
      <c r="G57" s="3507"/>
      <c r="H57" s="2276"/>
      <c r="I57" s="2276"/>
      <c r="J57" s="2276"/>
    </row>
    <row r="58" spans="1:10" s="2277" customFormat="1" ht="23.25" hidden="1" customHeight="1" x14ac:dyDescent="0.3">
      <c r="A58" s="2339"/>
      <c r="B58" s="2341"/>
      <c r="C58" s="2351"/>
      <c r="D58" s="2343"/>
      <c r="E58" s="2343"/>
      <c r="F58" s="2344"/>
      <c r="G58" s="2349"/>
      <c r="H58" s="2276"/>
      <c r="I58" s="2276"/>
      <c r="J58" s="2276"/>
    </row>
    <row r="59" spans="1:10" s="2277" customFormat="1" ht="23.25" hidden="1" customHeight="1" x14ac:dyDescent="0.3">
      <c r="A59" s="2339"/>
      <c r="B59" s="2341"/>
      <c r="C59" s="2336"/>
      <c r="D59" s="2337"/>
      <c r="E59" s="2337"/>
      <c r="F59" s="2338"/>
      <c r="G59" s="2349"/>
      <c r="H59" s="2276"/>
      <c r="I59" s="2276"/>
      <c r="J59" s="2276"/>
    </row>
    <row r="60" spans="1:10" s="2277" customFormat="1" ht="23.25" hidden="1" customHeight="1" x14ac:dyDescent="0.3">
      <c r="A60" s="2339"/>
      <c r="B60" s="2341"/>
      <c r="C60" s="2336"/>
      <c r="D60" s="2337"/>
      <c r="E60" s="2337"/>
      <c r="F60" s="2338"/>
      <c r="G60" s="2349"/>
      <c r="H60" s="2276"/>
      <c r="I60" s="2276"/>
      <c r="J60" s="2276"/>
    </row>
    <row r="61" spans="1:10" s="2277" customFormat="1" ht="23.25" hidden="1" customHeight="1" x14ac:dyDescent="0.3">
      <c r="A61" s="2339"/>
      <c r="B61" s="2341"/>
      <c r="C61" s="2336"/>
      <c r="D61" s="2337"/>
      <c r="E61" s="2337"/>
      <c r="F61" s="2338"/>
      <c r="G61" s="2349"/>
      <c r="H61" s="2276"/>
      <c r="I61" s="2276"/>
      <c r="J61" s="2276"/>
    </row>
    <row r="62" spans="1:10" s="2277" customFormat="1" ht="23.25" hidden="1" customHeight="1" x14ac:dyDescent="0.3">
      <c r="A62" s="2339"/>
      <c r="B62" s="2341"/>
      <c r="C62" s="2336"/>
      <c r="D62" s="2337"/>
      <c r="E62" s="2337"/>
      <c r="F62" s="2338"/>
      <c r="G62" s="2349"/>
      <c r="H62" s="2276"/>
      <c r="I62" s="2276"/>
      <c r="J62" s="2276"/>
    </row>
    <row r="63" spans="1:10" s="2277" customFormat="1" ht="23.25" hidden="1" customHeight="1" x14ac:dyDescent="0.3">
      <c r="A63" s="2339"/>
      <c r="B63" s="2341"/>
      <c r="C63" s="2336"/>
      <c r="D63" s="2337"/>
      <c r="E63" s="2337"/>
      <c r="F63" s="2338"/>
      <c r="G63" s="2349"/>
      <c r="H63" s="2276"/>
      <c r="I63" s="2276"/>
      <c r="J63" s="2276"/>
    </row>
    <row r="64" spans="1:10" s="2277" customFormat="1" ht="31.5" hidden="1" customHeight="1" thickBot="1" x14ac:dyDescent="0.35">
      <c r="A64" s="2340"/>
      <c r="B64" s="2342"/>
      <c r="C64" s="2272" t="s">
        <v>1082</v>
      </c>
      <c r="D64" s="2273">
        <f>SUM(D46:D47)</f>
        <v>0</v>
      </c>
      <c r="E64" s="2273">
        <f>SUM(E46:E47)</f>
        <v>0</v>
      </c>
      <c r="F64" s="2274">
        <f>SUM(F46:F47)</f>
        <v>0</v>
      </c>
      <c r="G64" s="2350"/>
      <c r="H64" s="2276"/>
      <c r="I64" s="2276"/>
      <c r="J64" s="2276"/>
    </row>
    <row r="65" spans="1:10" s="2286" customFormat="1" ht="28.5" customHeight="1" thickBot="1" x14ac:dyDescent="0.35">
      <c r="A65" s="3508" t="s">
        <v>1209</v>
      </c>
      <c r="B65" s="3511" t="s">
        <v>828</v>
      </c>
      <c r="C65" s="2395" t="s">
        <v>1080</v>
      </c>
      <c r="D65" s="2443">
        <f t="shared" ref="D65:F66" si="1">D22+D35+D38</f>
        <v>1690.127</v>
      </c>
      <c r="E65" s="2444">
        <f t="shared" si="1"/>
        <v>172.47</v>
      </c>
      <c r="F65" s="2445">
        <f t="shared" si="1"/>
        <v>124.16</v>
      </c>
      <c r="G65" s="3514" t="s">
        <v>1087</v>
      </c>
      <c r="H65" s="2285"/>
      <c r="I65" s="2285"/>
      <c r="J65" s="2285"/>
    </row>
    <row r="66" spans="1:10" s="2286" customFormat="1" ht="28.5" customHeight="1" thickBot="1" x14ac:dyDescent="0.35">
      <c r="A66" s="3509"/>
      <c r="B66" s="3512"/>
      <c r="C66" s="2396" t="s">
        <v>1081</v>
      </c>
      <c r="D66" s="2434">
        <f t="shared" si="1"/>
        <v>7612.76</v>
      </c>
      <c r="E66" s="2433">
        <f t="shared" si="1"/>
        <v>3278</v>
      </c>
      <c r="F66" s="2441">
        <f t="shared" si="1"/>
        <v>2368</v>
      </c>
      <c r="G66" s="3515"/>
      <c r="H66" s="2285"/>
      <c r="I66" s="2285"/>
      <c r="J66" s="2285"/>
    </row>
    <row r="67" spans="1:10" s="2286" customFormat="1" ht="26.5" thickBot="1" x14ac:dyDescent="0.35">
      <c r="A67" s="3510"/>
      <c r="B67" s="3513"/>
      <c r="C67" s="2397" t="s">
        <v>1088</v>
      </c>
      <c r="D67" s="2446">
        <f>D65+D66</f>
        <v>9302.8870000000006</v>
      </c>
      <c r="E67" s="2447">
        <f>E65+E66</f>
        <v>3450.47</v>
      </c>
      <c r="F67" s="2446">
        <f>F65+F66</f>
        <v>2492.16</v>
      </c>
      <c r="G67" s="3516"/>
      <c r="H67" s="2285"/>
      <c r="I67" s="2285"/>
      <c r="J67" s="2285"/>
    </row>
    <row r="68" spans="1:10" x14ac:dyDescent="0.3">
      <c r="D68" s="2003"/>
      <c r="E68" s="2003"/>
      <c r="F68" s="2003"/>
    </row>
    <row r="69" spans="1:10" s="2261" customFormat="1" ht="15.5" x14ac:dyDescent="0.35">
      <c r="C69" s="2287"/>
    </row>
  </sheetData>
  <mergeCells count="45"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F7:G7"/>
    <mergeCell ref="E1:G1"/>
    <mergeCell ref="E2:G2"/>
    <mergeCell ref="E3:G3"/>
    <mergeCell ref="E4:G4"/>
    <mergeCell ref="E5:G5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  <mergeCell ref="G55:G57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3001" t="s">
        <v>991</v>
      </c>
      <c r="I5" s="3001"/>
      <c r="J5" s="3001"/>
      <c r="K5" s="3001"/>
      <c r="L5" s="3001"/>
      <c r="M5" s="3001"/>
      <c r="N5" s="3001"/>
      <c r="O5" s="3001"/>
      <c r="P5" s="3001"/>
      <c r="Q5" s="3001"/>
      <c r="R5" s="3001"/>
      <c r="S5" s="3001"/>
      <c r="T5" s="3001"/>
      <c r="U5" s="3001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496"/>
      <c r="C12" s="3496"/>
      <c r="D12" s="3496"/>
      <c r="E12" s="3496"/>
      <c r="F12" s="3496"/>
      <c r="G12" s="3496"/>
      <c r="H12" s="3496"/>
      <c r="I12" s="395" t="e">
        <f>I10-I11-#REF!</f>
        <v>#REF!</v>
      </c>
      <c r="N12" s="1"/>
      <c r="U12" s="1"/>
    </row>
    <row r="13" spans="1:22" ht="15.65" customHeight="1" x14ac:dyDescent="0.25">
      <c r="A13" s="3497" t="s">
        <v>614</v>
      </c>
      <c r="B13" s="3497"/>
      <c r="C13" s="3497"/>
      <c r="D13" s="3497"/>
      <c r="E13" s="3497"/>
      <c r="F13" s="3497"/>
      <c r="G13" s="3497"/>
      <c r="H13" s="3497"/>
      <c r="I13" s="3497"/>
      <c r="J13" s="3497"/>
      <c r="K13" s="3497"/>
      <c r="L13" s="3497"/>
      <c r="M13" s="3497"/>
      <c r="N13" s="3497"/>
      <c r="O13" s="3497"/>
      <c r="P13" s="3497"/>
      <c r="Q13" s="3497"/>
      <c r="R13" s="3497"/>
      <c r="S13" s="3497"/>
      <c r="T13" s="3497"/>
      <c r="U13" s="3497"/>
    </row>
    <row r="14" spans="1:22" ht="15.65" customHeight="1" x14ac:dyDescent="0.25">
      <c r="A14" s="3497" t="s">
        <v>613</v>
      </c>
      <c r="B14" s="3497"/>
      <c r="C14" s="3497"/>
      <c r="D14" s="3497"/>
      <c r="E14" s="3497"/>
      <c r="F14" s="3497"/>
      <c r="G14" s="3497"/>
      <c r="H14" s="3497"/>
      <c r="I14" s="3497"/>
      <c r="J14" s="3497"/>
      <c r="K14" s="3497"/>
      <c r="L14" s="3497"/>
      <c r="M14" s="3497"/>
      <c r="N14" s="3497"/>
      <c r="O14" s="3497"/>
      <c r="P14" s="3497"/>
      <c r="Q14" s="3497"/>
      <c r="R14" s="3497"/>
      <c r="S14" s="3497"/>
      <c r="T14" s="3497"/>
      <c r="U14" s="3497"/>
    </row>
    <row r="15" spans="1:22" ht="15" customHeight="1" x14ac:dyDescent="0.25">
      <c r="A15" s="3497" t="s">
        <v>995</v>
      </c>
      <c r="B15" s="3497"/>
      <c r="C15" s="3497"/>
      <c r="D15" s="3497"/>
      <c r="E15" s="3497"/>
      <c r="F15" s="3497"/>
      <c r="G15" s="3497"/>
      <c r="H15" s="3497"/>
      <c r="I15" s="3497"/>
      <c r="J15" s="3497"/>
      <c r="K15" s="3497"/>
      <c r="L15" s="3497"/>
      <c r="M15" s="3497"/>
      <c r="N15" s="3497"/>
      <c r="O15" s="3497"/>
      <c r="P15" s="3497"/>
      <c r="Q15" s="3497"/>
      <c r="R15" s="3497"/>
      <c r="S15" s="3497"/>
      <c r="T15" s="3497"/>
      <c r="U15" s="3497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997" t="s">
        <v>625</v>
      </c>
      <c r="V12" s="2997"/>
      <c r="W12" s="2997"/>
    </row>
    <row r="13" spans="8:23" x14ac:dyDescent="0.35">
      <c r="Q13" s="877"/>
      <c r="U13" s="2997" t="s">
        <v>450</v>
      </c>
      <c r="V13" s="2997"/>
      <c r="W13" s="2997"/>
    </row>
    <row r="14" spans="8:23" x14ac:dyDescent="0.35">
      <c r="K14" s="2997" t="s">
        <v>449</v>
      </c>
      <c r="L14" s="2997"/>
      <c r="M14" s="2997"/>
      <c r="N14" s="2997"/>
      <c r="O14" s="2997"/>
      <c r="P14" s="2997"/>
      <c r="Q14" s="2997"/>
      <c r="R14" s="2997"/>
      <c r="S14" s="2997"/>
      <c r="T14" s="2997"/>
      <c r="U14" s="2997"/>
      <c r="V14" s="2997"/>
      <c r="W14" s="2997"/>
    </row>
    <row r="15" spans="8:23" x14ac:dyDescent="0.35">
      <c r="K15" s="2997" t="s">
        <v>448</v>
      </c>
      <c r="L15" s="2997"/>
      <c r="M15" s="2997"/>
      <c r="N15" s="2997"/>
      <c r="O15" s="2997"/>
      <c r="P15" s="2997"/>
      <c r="Q15" s="2997"/>
      <c r="R15" s="2997"/>
      <c r="S15" s="2997"/>
      <c r="T15" s="2997"/>
      <c r="U15" s="2997"/>
      <c r="V15" s="2997"/>
      <c r="W15" s="2997"/>
    </row>
    <row r="16" spans="8:23" x14ac:dyDescent="0.35">
      <c r="Q16" s="541"/>
      <c r="R16" s="387" t="s">
        <v>617</v>
      </c>
      <c r="U16" s="3001" t="s">
        <v>991</v>
      </c>
      <c r="V16" s="3001"/>
      <c r="W16" s="3001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2998" t="s">
        <v>629</v>
      </c>
      <c r="B24" s="2998"/>
      <c r="C24" s="2998"/>
      <c r="D24" s="2998"/>
      <c r="E24" s="2998"/>
      <c r="F24" s="2998"/>
      <c r="G24" s="2998"/>
      <c r="H24" s="2998"/>
      <c r="I24" s="2998"/>
      <c r="J24" s="2998"/>
      <c r="K24" s="2998"/>
      <c r="L24" s="2998"/>
      <c r="M24" s="2998"/>
      <c r="N24" s="2998"/>
      <c r="O24" s="2998"/>
      <c r="P24" s="2998"/>
      <c r="Q24" s="2998"/>
      <c r="R24" s="2998"/>
      <c r="S24" s="2998"/>
      <c r="T24" s="2998"/>
      <c r="U24" s="2998"/>
      <c r="V24" s="2998"/>
      <c r="W24" s="2998"/>
    </row>
    <row r="25" spans="1:23" ht="17.5" x14ac:dyDescent="0.35">
      <c r="A25" s="2998" t="s">
        <v>630</v>
      </c>
      <c r="B25" s="2998"/>
      <c r="C25" s="2998"/>
      <c r="D25" s="2998"/>
      <c r="E25" s="2998"/>
      <c r="F25" s="2998"/>
      <c r="G25" s="2998"/>
      <c r="H25" s="2998"/>
      <c r="I25" s="2998"/>
      <c r="J25" s="2998"/>
      <c r="K25" s="2998"/>
      <c r="L25" s="2998"/>
      <c r="M25" s="2998"/>
      <c r="N25" s="2998"/>
      <c r="O25" s="2998"/>
      <c r="P25" s="2998"/>
      <c r="Q25" s="2998"/>
      <c r="R25" s="2998"/>
      <c r="S25" s="2998"/>
      <c r="T25" s="2998"/>
      <c r="U25" s="2998"/>
      <c r="V25" s="2998"/>
      <c r="W25" s="2998"/>
    </row>
    <row r="26" spans="1:23" ht="17.5" hidden="1" x14ac:dyDescent="0.35">
      <c r="A26" s="2998"/>
      <c r="B26" s="2998"/>
      <c r="C26" s="2998"/>
      <c r="D26" s="2998"/>
      <c r="E26" s="2998"/>
      <c r="F26" s="2998"/>
      <c r="G26" s="2998"/>
      <c r="H26" s="2998"/>
      <c r="I26" s="2998"/>
      <c r="J26" s="2998"/>
      <c r="K26" s="2998"/>
      <c r="L26" s="2998"/>
    </row>
    <row r="27" spans="1:23" ht="17.5" x14ac:dyDescent="0.35">
      <c r="A27" s="2998" t="s">
        <v>992</v>
      </c>
      <c r="B27" s="2998"/>
      <c r="C27" s="2998"/>
      <c r="D27" s="2998"/>
      <c r="E27" s="2998"/>
      <c r="F27" s="2998"/>
      <c r="G27" s="2998"/>
      <c r="H27" s="2998"/>
      <c r="I27" s="2998"/>
      <c r="J27" s="2998"/>
      <c r="K27" s="2998"/>
      <c r="L27" s="2998"/>
      <c r="M27" s="2998"/>
      <c r="N27" s="2998"/>
      <c r="O27" s="2998"/>
      <c r="P27" s="2998"/>
      <c r="Q27" s="2998"/>
      <c r="R27" s="2998"/>
      <c r="S27" s="2998"/>
      <c r="T27" s="2998"/>
      <c r="U27" s="2998"/>
      <c r="V27" s="2998"/>
      <c r="W27" s="2998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999"/>
      <c r="L28" s="2999"/>
      <c r="R28" s="3000"/>
      <c r="S28" s="3000"/>
      <c r="T28" s="3000" t="s">
        <v>631</v>
      </c>
      <c r="U28" s="3000"/>
      <c r="W28" s="541" t="s">
        <v>631</v>
      </c>
    </row>
    <row r="29" spans="1:23" x14ac:dyDescent="0.35">
      <c r="A29" s="3012" t="s">
        <v>632</v>
      </c>
      <c r="B29" s="3013"/>
      <c r="C29" s="3014"/>
      <c r="D29" s="3015" t="s">
        <v>633</v>
      </c>
      <c r="E29" s="3016"/>
      <c r="F29" s="3016"/>
      <c r="G29" s="3016"/>
      <c r="H29" s="3016"/>
      <c r="I29" s="3016"/>
      <c r="J29" s="3017"/>
      <c r="K29" s="3015" t="s">
        <v>843</v>
      </c>
      <c r="L29" s="3017"/>
      <c r="M29" s="3021" t="s">
        <v>635</v>
      </c>
      <c r="N29" s="3023" t="s">
        <v>636</v>
      </c>
      <c r="O29" s="3023" t="s">
        <v>637</v>
      </c>
      <c r="P29" s="3021" t="s">
        <v>638</v>
      </c>
      <c r="Q29" s="3042" t="s">
        <v>639</v>
      </c>
      <c r="R29" s="3002" t="s">
        <v>634</v>
      </c>
      <c r="S29" s="3003"/>
      <c r="T29" s="3002" t="s">
        <v>640</v>
      </c>
      <c r="U29" s="3003"/>
      <c r="V29" s="3017" t="s">
        <v>894</v>
      </c>
      <c r="W29" s="3017" t="s">
        <v>993</v>
      </c>
    </row>
    <row r="30" spans="1:23" ht="16" thickBot="1" x14ac:dyDescent="0.4">
      <c r="A30" s="3006" t="s">
        <v>641</v>
      </c>
      <c r="B30" s="2999"/>
      <c r="C30" s="3007"/>
      <c r="D30" s="3018"/>
      <c r="E30" s="3019"/>
      <c r="F30" s="3019"/>
      <c r="G30" s="3019"/>
      <c r="H30" s="3019"/>
      <c r="I30" s="3019"/>
      <c r="J30" s="3020"/>
      <c r="K30" s="3018"/>
      <c r="L30" s="3020"/>
      <c r="M30" s="3022"/>
      <c r="N30" s="3024"/>
      <c r="O30" s="3024"/>
      <c r="P30" s="3022"/>
      <c r="Q30" s="3043"/>
      <c r="R30" s="3004"/>
      <c r="S30" s="3005"/>
      <c r="T30" s="3004"/>
      <c r="U30" s="3005"/>
      <c r="V30" s="3020"/>
      <c r="W30" s="3020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008">
        <v>3</v>
      </c>
      <c r="L31" s="3009"/>
      <c r="M31" s="1735"/>
      <c r="N31" s="1735"/>
      <c r="O31" s="1735"/>
      <c r="P31" s="1735"/>
      <c r="Q31" s="879"/>
      <c r="R31" s="3010">
        <v>3</v>
      </c>
      <c r="S31" s="3011"/>
      <c r="T31" s="3010">
        <v>3</v>
      </c>
      <c r="U31" s="3011"/>
      <c r="V31" s="1726">
        <v>4</v>
      </c>
      <c r="W31" s="1726">
        <v>5</v>
      </c>
    </row>
    <row r="32" spans="1:23" ht="15.65" customHeight="1" x14ac:dyDescent="0.25">
      <c r="A32" s="3025" t="s">
        <v>642</v>
      </c>
      <c r="B32" s="3026"/>
      <c r="C32" s="3027"/>
      <c r="D32" s="3031" t="s">
        <v>643</v>
      </c>
      <c r="E32" s="3032"/>
      <c r="F32" s="3032"/>
      <c r="G32" s="3032"/>
      <c r="H32" s="3032"/>
      <c r="I32" s="3032"/>
      <c r="J32" s="3033"/>
      <c r="K32" s="3037">
        <f>K34+K38+K41+K45+K51+K57+K76+K82+K94+K98</f>
        <v>76122.440999999992</v>
      </c>
      <c r="L32" s="3038"/>
      <c r="M32" s="3041">
        <v>17235.358</v>
      </c>
      <c r="N32" s="3041"/>
      <c r="O32" s="3041"/>
      <c r="P32" s="3041">
        <f>P34+P45+P51+P57+P76+P82+P98</f>
        <v>24582.394</v>
      </c>
      <c r="Q32" s="3041">
        <v>20829</v>
      </c>
      <c r="R32" s="3044">
        <f>R34+R45+R51+R57+R76+R82+R98+R41+R38+R94</f>
        <v>73596.200000000012</v>
      </c>
      <c r="S32" s="3045"/>
      <c r="T32" s="3044">
        <f>T34+T45+T51+T57+T76+T82+T98+T41+T38+T94</f>
        <v>75660.700000000012</v>
      </c>
      <c r="U32" s="3045"/>
      <c r="V32" s="3038">
        <f>V34+V38+V41+V45+V51+V57+V76+V82+V94+V98</f>
        <v>77856.865000000005</v>
      </c>
      <c r="W32" s="3038">
        <f>W34+W38+W41+W45+W51+W57+W76+W82+W94+W98</f>
        <v>79559.585999999996</v>
      </c>
    </row>
    <row r="33" spans="1:23" ht="13.9" customHeight="1" thickBot="1" x14ac:dyDescent="0.3">
      <c r="A33" s="3028"/>
      <c r="B33" s="3029"/>
      <c r="C33" s="3030"/>
      <c r="D33" s="3034"/>
      <c r="E33" s="3035"/>
      <c r="F33" s="3035"/>
      <c r="G33" s="3035"/>
      <c r="H33" s="3035"/>
      <c r="I33" s="3035"/>
      <c r="J33" s="3036"/>
      <c r="K33" s="3039"/>
      <c r="L33" s="3040"/>
      <c r="M33" s="3041"/>
      <c r="N33" s="3041"/>
      <c r="O33" s="3041"/>
      <c r="P33" s="3041"/>
      <c r="Q33" s="3041"/>
      <c r="R33" s="3046"/>
      <c r="S33" s="3047"/>
      <c r="T33" s="3046"/>
      <c r="U33" s="3047"/>
      <c r="V33" s="3040"/>
      <c r="W33" s="3040"/>
    </row>
    <row r="34" spans="1:23" ht="15" x14ac:dyDescent="0.3">
      <c r="A34" s="976" t="s">
        <v>644</v>
      </c>
      <c r="B34" s="977"/>
      <c r="C34" s="978"/>
      <c r="D34" s="3031" t="s">
        <v>645</v>
      </c>
      <c r="E34" s="3032"/>
      <c r="F34" s="3032"/>
      <c r="G34" s="3032"/>
      <c r="H34" s="3032"/>
      <c r="I34" s="3032"/>
      <c r="J34" s="3033"/>
      <c r="K34" s="3037">
        <f>K36</f>
        <v>35367.445</v>
      </c>
      <c r="L34" s="3038"/>
      <c r="M34" s="3041">
        <v>4523.7</v>
      </c>
      <c r="N34" s="3041"/>
      <c r="O34" s="3041"/>
      <c r="P34" s="3041">
        <f>P36</f>
        <v>5592.7</v>
      </c>
      <c r="Q34" s="3048">
        <v>4938.4639999999999</v>
      </c>
      <c r="R34" s="3044">
        <f>R36</f>
        <v>25200</v>
      </c>
      <c r="S34" s="3045"/>
      <c r="T34" s="3044">
        <f>T36</f>
        <v>26208</v>
      </c>
      <c r="U34" s="3045"/>
      <c r="V34" s="3038">
        <f>V36</f>
        <v>36782.142999999996</v>
      </c>
      <c r="W34" s="3038">
        <f>W36</f>
        <v>38253.428</v>
      </c>
    </row>
    <row r="35" spans="1:23" thickBot="1" x14ac:dyDescent="0.35">
      <c r="A35" s="979" t="s">
        <v>646</v>
      </c>
      <c r="B35" s="980"/>
      <c r="C35" s="981"/>
      <c r="D35" s="3034"/>
      <c r="E35" s="3035"/>
      <c r="F35" s="3035"/>
      <c r="G35" s="3035"/>
      <c r="H35" s="3035"/>
      <c r="I35" s="3035"/>
      <c r="J35" s="3036"/>
      <c r="K35" s="3039"/>
      <c r="L35" s="3040"/>
      <c r="M35" s="3041"/>
      <c r="N35" s="3041"/>
      <c r="O35" s="3041"/>
      <c r="P35" s="3041"/>
      <c r="Q35" s="3048"/>
      <c r="R35" s="3046"/>
      <c r="S35" s="3047"/>
      <c r="T35" s="3046"/>
      <c r="U35" s="3047"/>
      <c r="V35" s="3040"/>
      <c r="W35" s="3040"/>
    </row>
    <row r="36" spans="1:23" x14ac:dyDescent="0.35">
      <c r="A36" s="3012" t="s">
        <v>647</v>
      </c>
      <c r="B36" s="3013"/>
      <c r="C36" s="3014"/>
      <c r="D36" s="982"/>
      <c r="E36" s="983"/>
      <c r="F36" s="983"/>
      <c r="G36" s="983"/>
      <c r="H36" s="983"/>
      <c r="I36" s="983"/>
      <c r="J36" s="984"/>
      <c r="K36" s="3076">
        <v>35367.445</v>
      </c>
      <c r="L36" s="3077"/>
      <c r="M36" s="3041">
        <v>4523.7</v>
      </c>
      <c r="N36" s="3041">
        <v>534.5</v>
      </c>
      <c r="O36" s="3041">
        <v>534.5</v>
      </c>
      <c r="P36" s="3041">
        <f>M36+N36+O36</f>
        <v>5592.7</v>
      </c>
      <c r="Q36" s="3048">
        <v>4938.4639999999999</v>
      </c>
      <c r="R36" s="3059">
        <v>25200</v>
      </c>
      <c r="S36" s="3060"/>
      <c r="T36" s="3059">
        <v>26208</v>
      </c>
      <c r="U36" s="3060"/>
      <c r="V36" s="3077">
        <v>36782.142999999996</v>
      </c>
      <c r="W36" s="3077">
        <v>38253.428</v>
      </c>
    </row>
    <row r="37" spans="1:23" ht="16" thickBot="1" x14ac:dyDescent="0.4">
      <c r="A37" s="3006"/>
      <c r="B37" s="2999"/>
      <c r="C37" s="3007"/>
      <c r="D37" s="985" t="s">
        <v>648</v>
      </c>
      <c r="E37" s="986"/>
      <c r="F37" s="986"/>
      <c r="G37" s="986"/>
      <c r="H37" s="986"/>
      <c r="I37" s="986"/>
      <c r="J37" s="987"/>
      <c r="K37" s="3078"/>
      <c r="L37" s="3079"/>
      <c r="M37" s="3041"/>
      <c r="N37" s="3041"/>
      <c r="O37" s="3041"/>
      <c r="P37" s="3041"/>
      <c r="Q37" s="3048"/>
      <c r="R37" s="3061"/>
      <c r="S37" s="3062"/>
      <c r="T37" s="3061"/>
      <c r="U37" s="3062"/>
      <c r="V37" s="3079"/>
      <c r="W37" s="3079"/>
    </row>
    <row r="38" spans="1:23" ht="15.65" customHeight="1" x14ac:dyDescent="0.25">
      <c r="A38" s="3063" t="s">
        <v>649</v>
      </c>
      <c r="B38" s="3064"/>
      <c r="C38" s="3065"/>
      <c r="D38" s="3069" t="s">
        <v>650</v>
      </c>
      <c r="E38" s="3070"/>
      <c r="F38" s="3070"/>
      <c r="G38" s="3070"/>
      <c r="H38" s="3070"/>
      <c r="I38" s="3070"/>
      <c r="J38" s="3071"/>
      <c r="K38" s="3037">
        <f>K40</f>
        <v>948.322</v>
      </c>
      <c r="L38" s="3038"/>
      <c r="M38" s="3041">
        <v>9794</v>
      </c>
      <c r="N38" s="3041"/>
      <c r="O38" s="3041"/>
      <c r="P38" s="3041" t="e">
        <f>#REF!+P41+P42</f>
        <v>#REF!</v>
      </c>
      <c r="Q38" s="3075">
        <v>12087.288329999999</v>
      </c>
      <c r="R38" s="3044">
        <f>R40</f>
        <v>0</v>
      </c>
      <c r="S38" s="3045"/>
      <c r="T38" s="3044">
        <f>T40</f>
        <v>0</v>
      </c>
      <c r="U38" s="3045"/>
      <c r="V38" s="3038">
        <f>V40</f>
        <v>948.322</v>
      </c>
      <c r="W38" s="3038"/>
    </row>
    <row r="39" spans="1:23" ht="16.149999999999999" customHeight="1" thickBot="1" x14ac:dyDescent="0.3">
      <c r="A39" s="3066"/>
      <c r="B39" s="3067"/>
      <c r="C39" s="3068"/>
      <c r="D39" s="3072"/>
      <c r="E39" s="3073"/>
      <c r="F39" s="3073"/>
      <c r="G39" s="3073"/>
      <c r="H39" s="3073"/>
      <c r="I39" s="3073"/>
      <c r="J39" s="3074"/>
      <c r="K39" s="3039"/>
      <c r="L39" s="3040"/>
      <c r="M39" s="3041"/>
      <c r="N39" s="3041"/>
      <c r="O39" s="3041"/>
      <c r="P39" s="3041"/>
      <c r="Q39" s="3075"/>
      <c r="R39" s="3046"/>
      <c r="S39" s="3047"/>
      <c r="T39" s="3046"/>
      <c r="U39" s="3047"/>
      <c r="V39" s="3040"/>
      <c r="W39" s="3040"/>
    </row>
    <row r="40" spans="1:23" ht="31.15" customHeight="1" thickBot="1" x14ac:dyDescent="0.4">
      <c r="A40" s="3049" t="s">
        <v>651</v>
      </c>
      <c r="B40" s="3050"/>
      <c r="C40" s="3051"/>
      <c r="D40" s="3052" t="s">
        <v>652</v>
      </c>
      <c r="E40" s="3053"/>
      <c r="F40" s="3053"/>
      <c r="G40" s="3053"/>
      <c r="H40" s="3053"/>
      <c r="I40" s="3053"/>
      <c r="J40" s="3054"/>
      <c r="K40" s="3055">
        <v>948.322</v>
      </c>
      <c r="L40" s="3056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057"/>
      <c r="S40" s="3058"/>
      <c r="T40" s="3057"/>
      <c r="U40" s="3058"/>
      <c r="V40" s="1731">
        <v>948.322</v>
      </c>
      <c r="W40" s="1731"/>
    </row>
    <row r="41" spans="1:23" ht="15.65" customHeight="1" x14ac:dyDescent="0.25">
      <c r="A41" s="3063" t="s">
        <v>653</v>
      </c>
      <c r="B41" s="3064"/>
      <c r="C41" s="3065"/>
      <c r="D41" s="3084" t="s">
        <v>654</v>
      </c>
      <c r="E41" s="3085"/>
      <c r="F41" s="3085"/>
      <c r="G41" s="3085"/>
      <c r="H41" s="3085"/>
      <c r="I41" s="3085"/>
      <c r="J41" s="3086"/>
      <c r="K41" s="3037">
        <f>K44</f>
        <v>509</v>
      </c>
      <c r="L41" s="3038"/>
      <c r="M41" s="3041">
        <v>9794</v>
      </c>
      <c r="N41" s="3041"/>
      <c r="O41" s="3041"/>
      <c r="P41" s="3041">
        <f>P44+P45+P46</f>
        <v>15318</v>
      </c>
      <c r="Q41" s="3075">
        <v>12087.288329999999</v>
      </c>
      <c r="R41" s="3044">
        <f>R44</f>
        <v>75.8</v>
      </c>
      <c r="S41" s="3045"/>
      <c r="T41" s="3044">
        <f>T44</f>
        <v>80</v>
      </c>
      <c r="U41" s="3045"/>
      <c r="V41" s="3038">
        <f>V44</f>
        <v>529.36</v>
      </c>
      <c r="W41" s="3038">
        <f>W44</f>
        <v>563.81600000000003</v>
      </c>
    </row>
    <row r="42" spans="1:23" ht="16.149999999999999" customHeight="1" thickBot="1" x14ac:dyDescent="0.3">
      <c r="A42" s="3066"/>
      <c r="B42" s="3067"/>
      <c r="C42" s="3068"/>
      <c r="D42" s="3087"/>
      <c r="E42" s="3088"/>
      <c r="F42" s="3088"/>
      <c r="G42" s="3088"/>
      <c r="H42" s="3088"/>
      <c r="I42" s="3088"/>
      <c r="J42" s="3089"/>
      <c r="K42" s="3039"/>
      <c r="L42" s="3040"/>
      <c r="M42" s="3041"/>
      <c r="N42" s="3041"/>
      <c r="O42" s="3041"/>
      <c r="P42" s="3041"/>
      <c r="Q42" s="3075"/>
      <c r="R42" s="3046"/>
      <c r="S42" s="3047"/>
      <c r="T42" s="3046"/>
      <c r="U42" s="3047"/>
      <c r="V42" s="3040"/>
      <c r="W42" s="3040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3008" t="s">
        <v>655</v>
      </c>
      <c r="B44" s="3080"/>
      <c r="C44" s="3009"/>
      <c r="D44" s="3081" t="s">
        <v>656</v>
      </c>
      <c r="E44" s="3082"/>
      <c r="F44" s="3082"/>
      <c r="G44" s="3082"/>
      <c r="H44" s="3082"/>
      <c r="I44" s="3082"/>
      <c r="J44" s="3083"/>
      <c r="K44" s="3055">
        <v>509</v>
      </c>
      <c r="L44" s="3056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057">
        <v>75.8</v>
      </c>
      <c r="S44" s="3058"/>
      <c r="T44" s="3057">
        <v>80</v>
      </c>
      <c r="U44" s="3058"/>
      <c r="V44" s="1731">
        <v>529.36</v>
      </c>
      <c r="W44" s="1731">
        <v>563.81600000000003</v>
      </c>
    </row>
    <row r="45" spans="1:23" ht="15.65" customHeight="1" x14ac:dyDescent="0.25">
      <c r="A45" s="3063" t="s">
        <v>657</v>
      </c>
      <c r="B45" s="3064"/>
      <c r="C45" s="3065"/>
      <c r="D45" s="3084" t="s">
        <v>658</v>
      </c>
      <c r="E45" s="3085"/>
      <c r="F45" s="3085"/>
      <c r="G45" s="3085"/>
      <c r="H45" s="3085"/>
      <c r="I45" s="3085"/>
      <c r="J45" s="3086"/>
      <c r="K45" s="3037">
        <f>K48+K50+K49</f>
        <v>36986.9</v>
      </c>
      <c r="L45" s="3038"/>
      <c r="M45" s="3041">
        <v>9794</v>
      </c>
      <c r="N45" s="3041"/>
      <c r="O45" s="3041"/>
      <c r="P45" s="3041">
        <f>P48+P49+P50</f>
        <v>15194</v>
      </c>
      <c r="Q45" s="3075">
        <v>12087.288329999999</v>
      </c>
      <c r="R45" s="3044">
        <f>R48+R50+R49</f>
        <v>44797.8</v>
      </c>
      <c r="S45" s="3045"/>
      <c r="T45" s="3044">
        <f>T48+T50+T49</f>
        <v>46588.6</v>
      </c>
      <c r="U45" s="3045"/>
      <c r="V45" s="3038">
        <f>V48+V50</f>
        <v>37760.94</v>
      </c>
      <c r="W45" s="3038">
        <f>W48+W50</f>
        <v>38867.346000000005</v>
      </c>
    </row>
    <row r="46" spans="1:23" ht="16.149999999999999" customHeight="1" thickBot="1" x14ac:dyDescent="0.3">
      <c r="A46" s="3066"/>
      <c r="B46" s="3067"/>
      <c r="C46" s="3068"/>
      <c r="D46" s="3087"/>
      <c r="E46" s="3088"/>
      <c r="F46" s="3088"/>
      <c r="G46" s="3088"/>
      <c r="H46" s="3088"/>
      <c r="I46" s="3088"/>
      <c r="J46" s="3089"/>
      <c r="K46" s="3039"/>
      <c r="L46" s="3040"/>
      <c r="M46" s="3041"/>
      <c r="N46" s="3041"/>
      <c r="O46" s="3041"/>
      <c r="P46" s="3041"/>
      <c r="Q46" s="3075"/>
      <c r="R46" s="3046"/>
      <c r="S46" s="3047"/>
      <c r="T46" s="3046"/>
      <c r="U46" s="3047"/>
      <c r="V46" s="3040"/>
      <c r="W46" s="3040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3008" t="s">
        <v>659</v>
      </c>
      <c r="B48" s="3080"/>
      <c r="C48" s="3009"/>
      <c r="D48" s="972" t="s">
        <v>660</v>
      </c>
      <c r="E48" s="975"/>
      <c r="F48" s="975"/>
      <c r="G48" s="975"/>
      <c r="H48" s="975"/>
      <c r="I48" s="975"/>
      <c r="J48" s="974"/>
      <c r="K48" s="3055">
        <v>5166</v>
      </c>
      <c r="L48" s="3056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057">
        <v>3816</v>
      </c>
      <c r="S48" s="3058"/>
      <c r="T48" s="3057">
        <v>3968.6</v>
      </c>
      <c r="U48" s="3058"/>
      <c r="V48" s="1731">
        <v>5372.64</v>
      </c>
      <c r="W48" s="1731">
        <v>5587.5460000000003</v>
      </c>
    </row>
    <row r="49" spans="1:23" ht="15.65" hidden="1" customHeight="1" thickBot="1" x14ac:dyDescent="0.4">
      <c r="A49" s="3008" t="s">
        <v>661</v>
      </c>
      <c r="B49" s="3080"/>
      <c r="C49" s="3009"/>
      <c r="D49" s="996" t="s">
        <v>662</v>
      </c>
      <c r="E49" s="997"/>
      <c r="F49" s="997"/>
      <c r="G49" s="997"/>
      <c r="H49" s="997"/>
      <c r="I49" s="997"/>
      <c r="J49" s="998"/>
      <c r="K49" s="3055"/>
      <c r="L49" s="3056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057">
        <v>9783.7999999999993</v>
      </c>
      <c r="S49" s="3058"/>
      <c r="T49" s="3057">
        <v>10175</v>
      </c>
      <c r="U49" s="3058"/>
      <c r="V49" s="1731"/>
      <c r="W49" s="1731"/>
    </row>
    <row r="50" spans="1:23" ht="16" thickBot="1" x14ac:dyDescent="0.4">
      <c r="A50" s="3008" t="s">
        <v>663</v>
      </c>
      <c r="B50" s="3080"/>
      <c r="C50" s="3009"/>
      <c r="D50" s="972" t="s">
        <v>664</v>
      </c>
      <c r="E50" s="975"/>
      <c r="F50" s="975"/>
      <c r="G50" s="975"/>
      <c r="H50" s="975"/>
      <c r="I50" s="975"/>
      <c r="J50" s="974"/>
      <c r="K50" s="3055">
        <v>31820.9</v>
      </c>
      <c r="L50" s="3056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057">
        <v>31198</v>
      </c>
      <c r="S50" s="3058"/>
      <c r="T50" s="3057">
        <v>32445</v>
      </c>
      <c r="U50" s="3058"/>
      <c r="V50" s="1731">
        <v>32388.3</v>
      </c>
      <c r="W50" s="1731">
        <v>33279.800000000003</v>
      </c>
    </row>
    <row r="51" spans="1:23" ht="15.65" customHeight="1" x14ac:dyDescent="0.25">
      <c r="A51" s="3063" t="s">
        <v>665</v>
      </c>
      <c r="B51" s="3064"/>
      <c r="C51" s="3065"/>
      <c r="D51" s="3084" t="s">
        <v>666</v>
      </c>
      <c r="E51" s="3085"/>
      <c r="F51" s="3085"/>
      <c r="G51" s="3085"/>
      <c r="H51" s="3085"/>
      <c r="I51" s="3085"/>
      <c r="J51" s="3086"/>
      <c r="K51" s="3037">
        <f>K53</f>
        <v>5</v>
      </c>
      <c r="L51" s="3038"/>
      <c r="M51" s="3041">
        <v>17</v>
      </c>
      <c r="N51" s="3041"/>
      <c r="O51" s="3041"/>
      <c r="P51" s="3041">
        <f>M51+N51+O51</f>
        <v>17</v>
      </c>
      <c r="Q51" s="3041">
        <v>3.9649999999999999</v>
      </c>
      <c r="R51" s="3044">
        <f>R53</f>
        <v>8</v>
      </c>
      <c r="S51" s="3045"/>
      <c r="T51" s="3044">
        <f>T53</f>
        <v>10</v>
      </c>
      <c r="U51" s="3045"/>
      <c r="V51" s="3038">
        <v>5</v>
      </c>
      <c r="W51" s="3038">
        <v>5</v>
      </c>
    </row>
    <row r="52" spans="1:23" ht="13.9" customHeight="1" thickBot="1" x14ac:dyDescent="0.3">
      <c r="A52" s="3066"/>
      <c r="B52" s="3067"/>
      <c r="C52" s="3068"/>
      <c r="D52" s="3087"/>
      <c r="E52" s="3088"/>
      <c r="F52" s="3088"/>
      <c r="G52" s="3088"/>
      <c r="H52" s="3088"/>
      <c r="I52" s="3088"/>
      <c r="J52" s="3089"/>
      <c r="K52" s="3039"/>
      <c r="L52" s="3040"/>
      <c r="M52" s="3041"/>
      <c r="N52" s="3041"/>
      <c r="O52" s="3041"/>
      <c r="P52" s="3041"/>
      <c r="Q52" s="3041"/>
      <c r="R52" s="3046"/>
      <c r="S52" s="3047"/>
      <c r="T52" s="3046"/>
      <c r="U52" s="3047"/>
      <c r="V52" s="3040"/>
      <c r="W52" s="3040"/>
    </row>
    <row r="53" spans="1:23" x14ac:dyDescent="0.35">
      <c r="A53" s="3015" t="s">
        <v>667</v>
      </c>
      <c r="B53" s="3016"/>
      <c r="C53" s="3017"/>
      <c r="D53" s="982" t="s">
        <v>668</v>
      </c>
      <c r="E53" s="983"/>
      <c r="F53" s="983"/>
      <c r="G53" s="983"/>
      <c r="H53" s="983"/>
      <c r="I53" s="983"/>
      <c r="J53" s="983"/>
      <c r="K53" s="3076">
        <v>5</v>
      </c>
      <c r="L53" s="3077"/>
      <c r="M53" s="3041">
        <v>17</v>
      </c>
      <c r="N53" s="3041"/>
      <c r="O53" s="3041"/>
      <c r="P53" s="3041">
        <f>M53+N53+O53</f>
        <v>17</v>
      </c>
      <c r="Q53" s="3041">
        <v>3.9649999999999999</v>
      </c>
      <c r="R53" s="3059">
        <v>8</v>
      </c>
      <c r="S53" s="3060"/>
      <c r="T53" s="3059">
        <v>10</v>
      </c>
      <c r="U53" s="3060"/>
      <c r="V53" s="3077">
        <v>5</v>
      </c>
      <c r="W53" s="3077">
        <v>5</v>
      </c>
    </row>
    <row r="54" spans="1:23" x14ac:dyDescent="0.35">
      <c r="A54" s="3094"/>
      <c r="B54" s="3095"/>
      <c r="C54" s="3096"/>
      <c r="D54" s="996" t="s">
        <v>669</v>
      </c>
      <c r="E54" s="997"/>
      <c r="F54" s="997"/>
      <c r="G54" s="997"/>
      <c r="H54" s="997"/>
      <c r="I54" s="997"/>
      <c r="J54" s="997"/>
      <c r="K54" s="3097"/>
      <c r="L54" s="3098"/>
      <c r="M54" s="3041"/>
      <c r="N54" s="3041"/>
      <c r="O54" s="3041"/>
      <c r="P54" s="3041"/>
      <c r="Q54" s="3041"/>
      <c r="R54" s="3099"/>
      <c r="S54" s="3100"/>
      <c r="T54" s="3099"/>
      <c r="U54" s="3100"/>
      <c r="V54" s="3098"/>
      <c r="W54" s="3098"/>
    </row>
    <row r="55" spans="1:23" x14ac:dyDescent="0.35">
      <c r="A55" s="3094"/>
      <c r="B55" s="3095"/>
      <c r="C55" s="3096"/>
      <c r="D55" s="996" t="s">
        <v>670</v>
      </c>
      <c r="E55" s="997"/>
      <c r="F55" s="997"/>
      <c r="G55" s="997"/>
      <c r="H55" s="997"/>
      <c r="I55" s="997"/>
      <c r="J55" s="997"/>
      <c r="K55" s="3097"/>
      <c r="L55" s="3098"/>
      <c r="M55" s="3041"/>
      <c r="N55" s="3041"/>
      <c r="O55" s="3041"/>
      <c r="P55" s="3041"/>
      <c r="Q55" s="3041"/>
      <c r="R55" s="3099"/>
      <c r="S55" s="3100"/>
      <c r="T55" s="3099"/>
      <c r="U55" s="3100"/>
      <c r="V55" s="3098"/>
      <c r="W55" s="3098"/>
    </row>
    <row r="56" spans="1:23" ht="16" thickBot="1" x14ac:dyDescent="0.4">
      <c r="A56" s="3018"/>
      <c r="B56" s="3019"/>
      <c r="C56" s="3020"/>
      <c r="D56" s="985" t="s">
        <v>671</v>
      </c>
      <c r="E56" s="986"/>
      <c r="F56" s="986"/>
      <c r="G56" s="986"/>
      <c r="H56" s="986"/>
      <c r="I56" s="986"/>
      <c r="J56" s="986"/>
      <c r="K56" s="3078"/>
      <c r="L56" s="3079"/>
      <c r="M56" s="3041"/>
      <c r="N56" s="3041"/>
      <c r="O56" s="3041"/>
      <c r="P56" s="3041"/>
      <c r="Q56" s="3041"/>
      <c r="R56" s="3061"/>
      <c r="S56" s="3062"/>
      <c r="T56" s="3061"/>
      <c r="U56" s="3062"/>
      <c r="V56" s="3079"/>
      <c r="W56" s="3079"/>
    </row>
    <row r="57" spans="1:23" ht="15" x14ac:dyDescent="0.3">
      <c r="A57" s="3063" t="s">
        <v>672</v>
      </c>
      <c r="B57" s="3064"/>
      <c r="C57" s="3065"/>
      <c r="D57" s="976" t="s">
        <v>673</v>
      </c>
      <c r="E57" s="977"/>
      <c r="F57" s="977"/>
      <c r="G57" s="977"/>
      <c r="H57" s="977"/>
      <c r="I57" s="977"/>
      <c r="J57" s="978"/>
      <c r="K57" s="3104">
        <f>K60+K64+K72+K68</f>
        <v>1723.7</v>
      </c>
      <c r="L57" s="3105"/>
      <c r="M57" s="3041">
        <v>2183.6579999999999</v>
      </c>
      <c r="N57" s="3041"/>
      <c r="O57" s="3041"/>
      <c r="P57" s="3041">
        <f>P60+P64+P72</f>
        <v>2913.6940000000004</v>
      </c>
      <c r="Q57" s="3110">
        <v>2859.2967100000001</v>
      </c>
      <c r="R57" s="3111">
        <f>R60+R64+R72+R68</f>
        <v>1933</v>
      </c>
      <c r="S57" s="3112"/>
      <c r="T57" s="3111">
        <f>T60+T64+T72+T68</f>
        <v>1975</v>
      </c>
      <c r="U57" s="3112"/>
      <c r="V57" s="3105">
        <f>V68+V72</f>
        <v>1761.1</v>
      </c>
      <c r="W57" s="3105">
        <f>W68+W72</f>
        <v>1799.9960000000001</v>
      </c>
    </row>
    <row r="58" spans="1:23" ht="15" x14ac:dyDescent="0.3">
      <c r="A58" s="3101"/>
      <c r="B58" s="3102"/>
      <c r="C58" s="3103"/>
      <c r="D58" s="999" t="s">
        <v>674</v>
      </c>
      <c r="E58" s="1000"/>
      <c r="F58" s="1000"/>
      <c r="G58" s="1000"/>
      <c r="H58" s="1000"/>
      <c r="I58" s="1000"/>
      <c r="J58" s="1001"/>
      <c r="K58" s="3106"/>
      <c r="L58" s="3107"/>
      <c r="M58" s="3041"/>
      <c r="N58" s="3041"/>
      <c r="O58" s="3041"/>
      <c r="P58" s="3041"/>
      <c r="Q58" s="3110"/>
      <c r="R58" s="3113"/>
      <c r="S58" s="3114"/>
      <c r="T58" s="3113"/>
      <c r="U58" s="3114"/>
      <c r="V58" s="3107"/>
      <c r="W58" s="3107"/>
    </row>
    <row r="59" spans="1:23" thickBot="1" x14ac:dyDescent="0.35">
      <c r="A59" s="3066"/>
      <c r="B59" s="3067"/>
      <c r="C59" s="3068"/>
      <c r="D59" s="979" t="s">
        <v>675</v>
      </c>
      <c r="E59" s="980"/>
      <c r="F59" s="980"/>
      <c r="G59" s="980"/>
      <c r="H59" s="980"/>
      <c r="I59" s="980"/>
      <c r="J59" s="981"/>
      <c r="K59" s="3108"/>
      <c r="L59" s="3109"/>
      <c r="M59" s="3041"/>
      <c r="N59" s="3041"/>
      <c r="O59" s="3041"/>
      <c r="P59" s="3041"/>
      <c r="Q59" s="3110"/>
      <c r="R59" s="3115"/>
      <c r="S59" s="3116"/>
      <c r="T59" s="3115"/>
      <c r="U59" s="3116"/>
      <c r="V59" s="3109"/>
      <c r="W59" s="3109"/>
    </row>
    <row r="60" spans="1:23" ht="15.65" hidden="1" customHeight="1" thickBot="1" x14ac:dyDescent="0.4">
      <c r="A60" s="3015" t="s">
        <v>676</v>
      </c>
      <c r="B60" s="3016"/>
      <c r="C60" s="3017"/>
      <c r="D60" s="982" t="s">
        <v>677</v>
      </c>
      <c r="E60" s="983"/>
      <c r="F60" s="983"/>
      <c r="G60" s="983"/>
      <c r="H60" s="983"/>
      <c r="I60" s="983"/>
      <c r="J60" s="984"/>
      <c r="K60" s="3117"/>
      <c r="L60" s="3118"/>
      <c r="M60" s="3041">
        <v>1030</v>
      </c>
      <c r="N60" s="3041">
        <v>140</v>
      </c>
      <c r="O60" s="3041">
        <v>140</v>
      </c>
      <c r="P60" s="3041">
        <f>M60+N60+O60</f>
        <v>1310</v>
      </c>
      <c r="Q60" s="3110">
        <v>1430.7293099999999</v>
      </c>
      <c r="R60" s="3123"/>
      <c r="S60" s="3124"/>
      <c r="T60" s="3123"/>
      <c r="U60" s="3124"/>
      <c r="V60" s="3118"/>
      <c r="W60" s="3118"/>
    </row>
    <row r="61" spans="1:23" ht="15.65" hidden="1" customHeight="1" thickBot="1" x14ac:dyDescent="0.4">
      <c r="A61" s="3094"/>
      <c r="B61" s="3095"/>
      <c r="C61" s="3096"/>
      <c r="D61" s="996" t="s">
        <v>678</v>
      </c>
      <c r="E61" s="997"/>
      <c r="F61" s="997"/>
      <c r="G61" s="997"/>
      <c r="H61" s="997"/>
      <c r="I61" s="997"/>
      <c r="J61" s="998"/>
      <c r="K61" s="3119"/>
      <c r="L61" s="3120"/>
      <c r="M61" s="3041"/>
      <c r="N61" s="3041"/>
      <c r="O61" s="3041"/>
      <c r="P61" s="3041"/>
      <c r="Q61" s="3110"/>
      <c r="R61" s="3125"/>
      <c r="S61" s="3126"/>
      <c r="T61" s="3125"/>
      <c r="U61" s="3126"/>
      <c r="V61" s="3120"/>
      <c r="W61" s="3120"/>
    </row>
    <row r="62" spans="1:23" ht="15.65" hidden="1" customHeight="1" thickBot="1" x14ac:dyDescent="0.4">
      <c r="A62" s="3094"/>
      <c r="B62" s="3095"/>
      <c r="C62" s="3096"/>
      <c r="D62" s="996" t="s">
        <v>679</v>
      </c>
      <c r="E62" s="997"/>
      <c r="F62" s="997"/>
      <c r="G62" s="997"/>
      <c r="H62" s="997"/>
      <c r="I62" s="997"/>
      <c r="J62" s="998"/>
      <c r="K62" s="3119"/>
      <c r="L62" s="3120"/>
      <c r="M62" s="3041"/>
      <c r="N62" s="3041"/>
      <c r="O62" s="3041"/>
      <c r="P62" s="3041"/>
      <c r="Q62" s="3110"/>
      <c r="R62" s="3125"/>
      <c r="S62" s="3126"/>
      <c r="T62" s="3125"/>
      <c r="U62" s="3126"/>
      <c r="V62" s="3120"/>
      <c r="W62" s="3120"/>
    </row>
    <row r="63" spans="1:23" ht="15.65" hidden="1" customHeight="1" thickBot="1" x14ac:dyDescent="0.4">
      <c r="A63" s="3018"/>
      <c r="B63" s="3019"/>
      <c r="C63" s="3020"/>
      <c r="D63" s="985" t="s">
        <v>680</v>
      </c>
      <c r="E63" s="986"/>
      <c r="F63" s="986"/>
      <c r="G63" s="986"/>
      <c r="H63" s="986"/>
      <c r="I63" s="986"/>
      <c r="J63" s="987"/>
      <c r="K63" s="3121"/>
      <c r="L63" s="3122"/>
      <c r="M63" s="3041"/>
      <c r="N63" s="3041"/>
      <c r="O63" s="3041"/>
      <c r="P63" s="3041"/>
      <c r="Q63" s="3110"/>
      <c r="R63" s="3127"/>
      <c r="S63" s="3128"/>
      <c r="T63" s="3127"/>
      <c r="U63" s="3128"/>
      <c r="V63" s="3122"/>
      <c r="W63" s="3122"/>
    </row>
    <row r="64" spans="1:23" ht="15.65" hidden="1" customHeight="1" thickBot="1" x14ac:dyDescent="0.4">
      <c r="A64" s="3015" t="s">
        <v>681</v>
      </c>
      <c r="B64" s="3016"/>
      <c r="C64" s="3017"/>
      <c r="D64" s="982" t="s">
        <v>682</v>
      </c>
      <c r="E64" s="983"/>
      <c r="F64" s="983"/>
      <c r="G64" s="983"/>
      <c r="H64" s="983"/>
      <c r="I64" s="983"/>
      <c r="J64" s="984"/>
      <c r="K64" s="3117"/>
      <c r="L64" s="3118"/>
      <c r="M64" s="3041">
        <v>928.55</v>
      </c>
      <c r="N64" s="3041">
        <v>200</v>
      </c>
      <c r="O64" s="3041">
        <v>200</v>
      </c>
      <c r="P64" s="3041">
        <f>M64+N64+O64</f>
        <v>1328.55</v>
      </c>
      <c r="Q64" s="3110">
        <v>1007.7294000000001</v>
      </c>
      <c r="R64" s="3123"/>
      <c r="S64" s="3124"/>
      <c r="T64" s="3123"/>
      <c r="U64" s="3124"/>
      <c r="V64" s="3118"/>
      <c r="W64" s="3118"/>
    </row>
    <row r="65" spans="1:23" ht="14.25" hidden="1" customHeight="1" x14ac:dyDescent="0.35">
      <c r="A65" s="3094"/>
      <c r="B65" s="3095"/>
      <c r="C65" s="3096"/>
      <c r="D65" s="996" t="s">
        <v>683</v>
      </c>
      <c r="E65" s="997"/>
      <c r="F65" s="997"/>
      <c r="G65" s="997"/>
      <c r="H65" s="997"/>
      <c r="I65" s="997"/>
      <c r="J65" s="998"/>
      <c r="K65" s="3119"/>
      <c r="L65" s="3120"/>
      <c r="M65" s="3041"/>
      <c r="N65" s="3041"/>
      <c r="O65" s="3041"/>
      <c r="P65" s="3041"/>
      <c r="Q65" s="3110"/>
      <c r="R65" s="3125"/>
      <c r="S65" s="3126"/>
      <c r="T65" s="3125"/>
      <c r="U65" s="3126"/>
      <c r="V65" s="3120"/>
      <c r="W65" s="3120"/>
    </row>
    <row r="66" spans="1:23" ht="15.75" hidden="1" customHeight="1" x14ac:dyDescent="0.35">
      <c r="A66" s="3094"/>
      <c r="B66" s="3095"/>
      <c r="C66" s="3096"/>
      <c r="D66" s="996" t="s">
        <v>684</v>
      </c>
      <c r="E66" s="997"/>
      <c r="F66" s="997"/>
      <c r="G66" s="997"/>
      <c r="H66" s="997"/>
      <c r="I66" s="997"/>
      <c r="J66" s="998"/>
      <c r="K66" s="3119"/>
      <c r="L66" s="3120"/>
      <c r="M66" s="3041"/>
      <c r="N66" s="3041"/>
      <c r="O66" s="3041"/>
      <c r="P66" s="3041"/>
      <c r="Q66" s="3110"/>
      <c r="R66" s="3125"/>
      <c r="S66" s="3126"/>
      <c r="T66" s="3125"/>
      <c r="U66" s="3126"/>
      <c r="V66" s="3120"/>
      <c r="W66" s="3120"/>
    </row>
    <row r="67" spans="1:23" ht="15.75" hidden="1" customHeight="1" thickBot="1" x14ac:dyDescent="0.4">
      <c r="A67" s="3018"/>
      <c r="B67" s="3019"/>
      <c r="C67" s="3020"/>
      <c r="D67" s="985" t="s">
        <v>685</v>
      </c>
      <c r="E67" s="986"/>
      <c r="F67" s="986"/>
      <c r="G67" s="986"/>
      <c r="H67" s="986"/>
      <c r="I67" s="986"/>
      <c r="J67" s="987"/>
      <c r="K67" s="3121"/>
      <c r="L67" s="3122"/>
      <c r="M67" s="3041"/>
      <c r="N67" s="3041"/>
      <c r="O67" s="3041"/>
      <c r="P67" s="3041"/>
      <c r="Q67" s="3110"/>
      <c r="R67" s="3127"/>
      <c r="S67" s="3128"/>
      <c r="T67" s="3127"/>
      <c r="U67" s="3128"/>
      <c r="V67" s="3122"/>
      <c r="W67" s="3122"/>
    </row>
    <row r="68" spans="1:23" x14ac:dyDescent="0.35">
      <c r="A68" s="3015" t="s">
        <v>686</v>
      </c>
      <c r="B68" s="3016"/>
      <c r="C68" s="3017"/>
      <c r="D68" s="1002"/>
      <c r="E68" s="997"/>
      <c r="F68" s="997"/>
      <c r="G68" s="997"/>
      <c r="H68" s="997"/>
      <c r="I68" s="997"/>
      <c r="J68" s="998"/>
      <c r="K68" s="3117">
        <v>788.7</v>
      </c>
      <c r="L68" s="3118"/>
      <c r="M68" s="3041">
        <v>928.55</v>
      </c>
      <c r="N68" s="3041">
        <v>200</v>
      </c>
      <c r="O68" s="3041">
        <v>200</v>
      </c>
      <c r="P68" s="3041">
        <f>M68+N68+O68</f>
        <v>1328.55</v>
      </c>
      <c r="Q68" s="3110">
        <v>1007.7294000000001</v>
      </c>
      <c r="R68" s="3123">
        <v>1035</v>
      </c>
      <c r="S68" s="3124"/>
      <c r="T68" s="3123">
        <v>1040</v>
      </c>
      <c r="U68" s="3124"/>
      <c r="V68" s="3118">
        <v>788.7</v>
      </c>
      <c r="W68" s="3118">
        <v>788.7</v>
      </c>
    </row>
    <row r="69" spans="1:23" ht="14.25" customHeight="1" x14ac:dyDescent="0.35">
      <c r="A69" s="3094"/>
      <c r="B69" s="3095"/>
      <c r="C69" s="3096"/>
      <c r="D69" s="997" t="s">
        <v>687</v>
      </c>
      <c r="E69" s="997"/>
      <c r="F69" s="997"/>
      <c r="G69" s="997"/>
      <c r="H69" s="997"/>
      <c r="I69" s="997"/>
      <c r="J69" s="998"/>
      <c r="K69" s="3119"/>
      <c r="L69" s="3120"/>
      <c r="M69" s="3041"/>
      <c r="N69" s="3041"/>
      <c r="O69" s="3041"/>
      <c r="P69" s="3041"/>
      <c r="Q69" s="3110"/>
      <c r="R69" s="3125"/>
      <c r="S69" s="3126"/>
      <c r="T69" s="3125"/>
      <c r="U69" s="3126"/>
      <c r="V69" s="3120"/>
      <c r="W69" s="3120"/>
    </row>
    <row r="70" spans="1:23" ht="15.75" customHeight="1" x14ac:dyDescent="0.35">
      <c r="A70" s="3094"/>
      <c r="B70" s="3095"/>
      <c r="C70" s="3096"/>
      <c r="D70" s="997" t="s">
        <v>688</v>
      </c>
      <c r="E70" s="997"/>
      <c r="F70" s="997"/>
      <c r="G70" s="997"/>
      <c r="H70" s="997"/>
      <c r="I70" s="997"/>
      <c r="J70" s="998"/>
      <c r="K70" s="3119"/>
      <c r="L70" s="3120"/>
      <c r="M70" s="3041"/>
      <c r="N70" s="3041"/>
      <c r="O70" s="3041"/>
      <c r="P70" s="3041"/>
      <c r="Q70" s="3110"/>
      <c r="R70" s="3125"/>
      <c r="S70" s="3126"/>
      <c r="T70" s="3125"/>
      <c r="U70" s="3126"/>
      <c r="V70" s="3120"/>
      <c r="W70" s="3120"/>
    </row>
    <row r="71" spans="1:23" ht="15.75" customHeight="1" thickBot="1" x14ac:dyDescent="0.4">
      <c r="A71" s="3018"/>
      <c r="B71" s="3019"/>
      <c r="C71" s="3020"/>
      <c r="D71" s="986"/>
      <c r="E71" s="986"/>
      <c r="F71" s="986"/>
      <c r="G71" s="986"/>
      <c r="H71" s="986"/>
      <c r="I71" s="986"/>
      <c r="J71" s="987"/>
      <c r="K71" s="3121"/>
      <c r="L71" s="3122"/>
      <c r="M71" s="3041"/>
      <c r="N71" s="3041"/>
      <c r="O71" s="3041"/>
      <c r="P71" s="3041"/>
      <c r="Q71" s="3110"/>
      <c r="R71" s="3127"/>
      <c r="S71" s="3128"/>
      <c r="T71" s="3127"/>
      <c r="U71" s="3128"/>
      <c r="V71" s="3122"/>
      <c r="W71" s="3122"/>
    </row>
    <row r="72" spans="1:23" ht="15" customHeight="1" x14ac:dyDescent="0.35">
      <c r="A72" s="3015" t="s">
        <v>689</v>
      </c>
      <c r="B72" s="3016"/>
      <c r="C72" s="3017"/>
      <c r="D72" s="982" t="s">
        <v>690</v>
      </c>
      <c r="E72" s="983"/>
      <c r="F72" s="983"/>
      <c r="G72" s="983"/>
      <c r="H72" s="983"/>
      <c r="I72" s="983"/>
      <c r="J72" s="984"/>
      <c r="K72" s="3117">
        <v>935</v>
      </c>
      <c r="L72" s="3118"/>
      <c r="M72" s="3129">
        <v>225.108</v>
      </c>
      <c r="N72" s="3132">
        <f>24.9+0.118</f>
        <v>25.017999999999997</v>
      </c>
      <c r="O72" s="3132">
        <v>25.018000000000001</v>
      </c>
      <c r="P72" s="3135">
        <f>M72+N72+O72</f>
        <v>275.14400000000001</v>
      </c>
      <c r="Q72" s="3132">
        <v>420.83800000000002</v>
      </c>
      <c r="R72" s="3245">
        <v>898</v>
      </c>
      <c r="S72" s="3246"/>
      <c r="T72" s="3245">
        <v>935</v>
      </c>
      <c r="U72" s="3246"/>
      <c r="V72" s="3118">
        <v>972.4</v>
      </c>
      <c r="W72" s="3118">
        <v>1011.296</v>
      </c>
    </row>
    <row r="73" spans="1:23" ht="13.15" customHeight="1" x14ac:dyDescent="0.35">
      <c r="A73" s="3094"/>
      <c r="B73" s="3095"/>
      <c r="C73" s="3096"/>
      <c r="D73" s="996" t="s">
        <v>691</v>
      </c>
      <c r="E73" s="997"/>
      <c r="F73" s="997"/>
      <c r="G73" s="997"/>
      <c r="H73" s="997"/>
      <c r="I73" s="997"/>
      <c r="J73" s="998"/>
      <c r="K73" s="3119"/>
      <c r="L73" s="3120"/>
      <c r="M73" s="3130"/>
      <c r="N73" s="3133"/>
      <c r="O73" s="3133"/>
      <c r="P73" s="3136"/>
      <c r="Q73" s="3133"/>
      <c r="R73" s="3247"/>
      <c r="S73" s="3248"/>
      <c r="T73" s="3247"/>
      <c r="U73" s="3248"/>
      <c r="V73" s="3120"/>
      <c r="W73" s="3120"/>
    </row>
    <row r="74" spans="1:23" ht="13.15" customHeight="1" x14ac:dyDescent="0.35">
      <c r="A74" s="3094"/>
      <c r="B74" s="3095"/>
      <c r="C74" s="3096"/>
      <c r="D74" s="996" t="s">
        <v>692</v>
      </c>
      <c r="E74" s="997"/>
      <c r="F74" s="997"/>
      <c r="G74" s="997"/>
      <c r="H74" s="997"/>
      <c r="I74" s="997"/>
      <c r="J74" s="998"/>
      <c r="K74" s="3119"/>
      <c r="L74" s="3120"/>
      <c r="M74" s="3130"/>
      <c r="N74" s="3133"/>
      <c r="O74" s="3133"/>
      <c r="P74" s="3136"/>
      <c r="Q74" s="3133"/>
      <c r="R74" s="3247"/>
      <c r="S74" s="3248"/>
      <c r="T74" s="3247"/>
      <c r="U74" s="3248"/>
      <c r="V74" s="3120"/>
      <c r="W74" s="3120"/>
    </row>
    <row r="75" spans="1:23" ht="12.75" customHeight="1" thickBot="1" x14ac:dyDescent="0.4">
      <c r="A75" s="3018"/>
      <c r="B75" s="3019"/>
      <c r="C75" s="3020"/>
      <c r="D75" s="985" t="s">
        <v>693</v>
      </c>
      <c r="E75" s="986"/>
      <c r="F75" s="986"/>
      <c r="G75" s="986"/>
      <c r="H75" s="986"/>
      <c r="I75" s="986"/>
      <c r="J75" s="987"/>
      <c r="K75" s="3121"/>
      <c r="L75" s="3122"/>
      <c r="M75" s="3131"/>
      <c r="N75" s="3134"/>
      <c r="O75" s="3134"/>
      <c r="P75" s="3137"/>
      <c r="Q75" s="3134"/>
      <c r="R75" s="3249"/>
      <c r="S75" s="3250"/>
      <c r="T75" s="3249"/>
      <c r="U75" s="3250"/>
      <c r="V75" s="3122"/>
      <c r="W75" s="3122"/>
    </row>
    <row r="76" spans="1:23" ht="15" x14ac:dyDescent="0.3">
      <c r="A76" s="3063" t="s">
        <v>694</v>
      </c>
      <c r="B76" s="3064"/>
      <c r="C76" s="3065"/>
      <c r="D76" s="976" t="s">
        <v>887</v>
      </c>
      <c r="E76" s="977"/>
      <c r="F76" s="977"/>
      <c r="G76" s="977"/>
      <c r="H76" s="977"/>
      <c r="I76" s="977"/>
      <c r="J76" s="978"/>
      <c r="K76" s="3104">
        <f>K78+K81</f>
        <v>537.07399999999996</v>
      </c>
      <c r="L76" s="3105"/>
      <c r="M76" s="3041">
        <v>97</v>
      </c>
      <c r="N76" s="3041"/>
      <c r="O76" s="3041"/>
      <c r="P76" s="3041">
        <f>P78+P81</f>
        <v>125</v>
      </c>
      <c r="Q76" s="3110">
        <v>435.29176000000001</v>
      </c>
      <c r="R76" s="3138">
        <f>R78+R81</f>
        <v>10.6</v>
      </c>
      <c r="S76" s="3139"/>
      <c r="T76" s="3138">
        <f>T78+T81</f>
        <v>11.1</v>
      </c>
      <c r="U76" s="3139"/>
      <c r="V76" s="3105">
        <f>V81</f>
        <v>25</v>
      </c>
      <c r="W76" s="3105">
        <f>W81</f>
        <v>25</v>
      </c>
    </row>
    <row r="77" spans="1:23" thickBot="1" x14ac:dyDescent="0.35">
      <c r="A77" s="3066"/>
      <c r="B77" s="3067"/>
      <c r="C77" s="3068"/>
      <c r="D77" s="979" t="s">
        <v>695</v>
      </c>
      <c r="E77" s="980"/>
      <c r="F77" s="980"/>
      <c r="G77" s="980"/>
      <c r="H77" s="980"/>
      <c r="I77" s="980"/>
      <c r="J77" s="981"/>
      <c r="K77" s="3108"/>
      <c r="L77" s="3109"/>
      <c r="M77" s="3041"/>
      <c r="N77" s="3041"/>
      <c r="O77" s="3041"/>
      <c r="P77" s="3041"/>
      <c r="Q77" s="3110"/>
      <c r="R77" s="3140"/>
      <c r="S77" s="3141"/>
      <c r="T77" s="3140"/>
      <c r="U77" s="3141"/>
      <c r="V77" s="3109"/>
      <c r="W77" s="3109"/>
    </row>
    <row r="78" spans="1:23" ht="15" hidden="1" customHeight="1" x14ac:dyDescent="0.35">
      <c r="A78" s="3015" t="s">
        <v>696</v>
      </c>
      <c r="B78" s="3016"/>
      <c r="C78" s="3017"/>
      <c r="D78" s="982" t="s">
        <v>697</v>
      </c>
      <c r="E78" s="983"/>
      <c r="F78" s="983"/>
      <c r="G78" s="983"/>
      <c r="H78" s="983"/>
      <c r="I78" s="983"/>
      <c r="J78" s="984"/>
      <c r="K78" s="3117"/>
      <c r="L78" s="3145"/>
      <c r="M78" s="3041">
        <v>69</v>
      </c>
      <c r="N78" s="3041">
        <v>7</v>
      </c>
      <c r="O78" s="3041">
        <v>7</v>
      </c>
      <c r="P78" s="3041">
        <f>M78+N78+O78</f>
        <v>83</v>
      </c>
      <c r="Q78" s="3041">
        <v>0.5</v>
      </c>
      <c r="R78" s="3123"/>
      <c r="S78" s="3150"/>
      <c r="T78" s="3123"/>
      <c r="U78" s="3150"/>
      <c r="V78" s="3145"/>
      <c r="W78" s="3145"/>
    </row>
    <row r="79" spans="1:23" ht="15" hidden="1" customHeight="1" x14ac:dyDescent="0.35">
      <c r="A79" s="3094"/>
      <c r="B79" s="3095"/>
      <c r="C79" s="3096"/>
      <c r="D79" s="996" t="s">
        <v>698</v>
      </c>
      <c r="E79" s="997"/>
      <c r="F79" s="997"/>
      <c r="G79" s="997"/>
      <c r="H79" s="997"/>
      <c r="I79" s="997"/>
      <c r="J79" s="998"/>
      <c r="K79" s="3146"/>
      <c r="L79" s="3147"/>
      <c r="M79" s="3041"/>
      <c r="N79" s="3041"/>
      <c r="O79" s="3041"/>
      <c r="P79" s="3041"/>
      <c r="Q79" s="3041"/>
      <c r="R79" s="3151"/>
      <c r="S79" s="3152"/>
      <c r="T79" s="3151"/>
      <c r="U79" s="3152"/>
      <c r="V79" s="3147"/>
      <c r="W79" s="3147"/>
    </row>
    <row r="80" spans="1:23" ht="7.15" hidden="1" customHeight="1" x14ac:dyDescent="0.35">
      <c r="A80" s="3142"/>
      <c r="B80" s="3143"/>
      <c r="C80" s="3144"/>
      <c r="D80" s="1003"/>
      <c r="E80" s="1004"/>
      <c r="F80" s="1004"/>
      <c r="G80" s="1004"/>
      <c r="H80" s="1004"/>
      <c r="I80" s="1004"/>
      <c r="J80" s="1005"/>
      <c r="K80" s="3148"/>
      <c r="L80" s="3149"/>
      <c r="M80" s="3041"/>
      <c r="N80" s="3041"/>
      <c r="O80" s="3041"/>
      <c r="P80" s="3041"/>
      <c r="Q80" s="3041"/>
      <c r="R80" s="3153"/>
      <c r="S80" s="3154"/>
      <c r="T80" s="3153"/>
      <c r="U80" s="3154"/>
      <c r="V80" s="3149"/>
      <c r="W80" s="3149"/>
    </row>
    <row r="81" spans="1:23" ht="16" thickBot="1" x14ac:dyDescent="0.4">
      <c r="A81" s="3162" t="s">
        <v>699</v>
      </c>
      <c r="B81" s="3163"/>
      <c r="C81" s="3164"/>
      <c r="D81" s="996" t="s">
        <v>700</v>
      </c>
      <c r="E81" s="997"/>
      <c r="F81" s="997"/>
      <c r="G81" s="997"/>
      <c r="H81" s="997"/>
      <c r="I81" s="997"/>
      <c r="J81" s="998"/>
      <c r="K81" s="3165">
        <v>537.07399999999996</v>
      </c>
      <c r="L81" s="3166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167">
        <v>10.6</v>
      </c>
      <c r="S81" s="3168"/>
      <c r="T81" s="3167">
        <v>11.1</v>
      </c>
      <c r="U81" s="3168"/>
      <c r="V81" s="1817">
        <v>25</v>
      </c>
      <c r="W81" s="1817">
        <v>25</v>
      </c>
    </row>
    <row r="82" spans="1:23" ht="15" hidden="1" x14ac:dyDescent="0.3">
      <c r="A82" s="3063" t="s">
        <v>701</v>
      </c>
      <c r="B82" s="3064"/>
      <c r="C82" s="3065"/>
      <c r="D82" s="976" t="s">
        <v>702</v>
      </c>
      <c r="E82" s="977"/>
      <c r="F82" s="977"/>
      <c r="G82" s="977"/>
      <c r="H82" s="977"/>
      <c r="I82" s="977"/>
      <c r="J82" s="978"/>
      <c r="K82" s="3104">
        <f>K85+K90+K84</f>
        <v>0</v>
      </c>
      <c r="L82" s="3105"/>
      <c r="M82" s="3041">
        <v>530</v>
      </c>
      <c r="N82" s="3041"/>
      <c r="O82" s="3041"/>
      <c r="P82" s="3041">
        <f>P84+P85+P90</f>
        <v>590</v>
      </c>
      <c r="Q82" s="3110">
        <v>375.10428000000002</v>
      </c>
      <c r="R82" s="3138">
        <f>R85+R90+R84</f>
        <v>1540</v>
      </c>
      <c r="S82" s="3139"/>
      <c r="T82" s="3138">
        <f>T85+T90+T84</f>
        <v>755</v>
      </c>
      <c r="U82" s="3139"/>
      <c r="V82" s="3105">
        <f>V85</f>
        <v>0</v>
      </c>
      <c r="W82" s="3105">
        <f>W85</f>
        <v>0</v>
      </c>
    </row>
    <row r="83" spans="1:23" hidden="1" thickBot="1" x14ac:dyDescent="0.35">
      <c r="A83" s="3066"/>
      <c r="B83" s="3067"/>
      <c r="C83" s="3068"/>
      <c r="D83" s="979" t="s">
        <v>703</v>
      </c>
      <c r="E83" s="980"/>
      <c r="F83" s="980"/>
      <c r="G83" s="980"/>
      <c r="H83" s="980"/>
      <c r="I83" s="980"/>
      <c r="J83" s="981"/>
      <c r="K83" s="3108"/>
      <c r="L83" s="3109"/>
      <c r="M83" s="3135"/>
      <c r="N83" s="3135"/>
      <c r="O83" s="3135"/>
      <c r="P83" s="3135"/>
      <c r="Q83" s="3244"/>
      <c r="R83" s="3140"/>
      <c r="S83" s="3141"/>
      <c r="T83" s="3140"/>
      <c r="U83" s="3141"/>
      <c r="V83" s="3109"/>
      <c r="W83" s="3109"/>
    </row>
    <row r="84" spans="1:23" ht="15.65" hidden="1" customHeight="1" x14ac:dyDescent="0.35">
      <c r="A84" s="3155" t="s">
        <v>704</v>
      </c>
      <c r="B84" s="3156"/>
      <c r="C84" s="3157"/>
      <c r="D84" s="1006" t="s">
        <v>705</v>
      </c>
      <c r="E84" s="1007"/>
      <c r="F84" s="1007"/>
      <c r="G84" s="1007"/>
      <c r="H84" s="1007"/>
      <c r="I84" s="1007"/>
      <c r="J84" s="1008"/>
      <c r="K84" s="3158"/>
      <c r="L84" s="3159"/>
      <c r="M84" s="883"/>
      <c r="N84" s="884"/>
      <c r="O84" s="884"/>
      <c r="P84" s="884"/>
      <c r="Q84" s="885">
        <v>62.085000000000001</v>
      </c>
      <c r="R84" s="3160"/>
      <c r="S84" s="3161"/>
      <c r="T84" s="3160"/>
      <c r="U84" s="3161"/>
      <c r="V84" s="1736"/>
      <c r="W84" s="1736"/>
    </row>
    <row r="85" spans="1:23" hidden="1" x14ac:dyDescent="0.35">
      <c r="A85" s="3172" t="s">
        <v>706</v>
      </c>
      <c r="B85" s="3173"/>
      <c r="C85" s="3174"/>
      <c r="D85" s="996" t="s">
        <v>707</v>
      </c>
      <c r="E85" s="997"/>
      <c r="F85" s="997"/>
      <c r="G85" s="997"/>
      <c r="H85" s="997"/>
      <c r="I85" s="997"/>
      <c r="J85" s="998"/>
      <c r="K85" s="3175"/>
      <c r="L85" s="3176"/>
      <c r="M85" s="3137">
        <v>190</v>
      </c>
      <c r="N85" s="3137">
        <v>30</v>
      </c>
      <c r="O85" s="3137">
        <v>30</v>
      </c>
      <c r="P85" s="3137">
        <f>M85+N85+O85</f>
        <v>250</v>
      </c>
      <c r="Q85" s="3171">
        <v>243.4375</v>
      </c>
      <c r="R85" s="3125">
        <v>1540</v>
      </c>
      <c r="S85" s="3126"/>
      <c r="T85" s="3125">
        <v>755</v>
      </c>
      <c r="U85" s="3126"/>
      <c r="V85" s="3176">
        <v>0</v>
      </c>
      <c r="W85" s="3176">
        <v>0</v>
      </c>
    </row>
    <row r="86" spans="1:23" hidden="1" x14ac:dyDescent="0.35">
      <c r="A86" s="3094"/>
      <c r="B86" s="3095"/>
      <c r="C86" s="3096"/>
      <c r="D86" s="996" t="s">
        <v>708</v>
      </c>
      <c r="E86" s="997"/>
      <c r="F86" s="997"/>
      <c r="G86" s="997"/>
      <c r="H86" s="997"/>
      <c r="I86" s="997"/>
      <c r="J86" s="998"/>
      <c r="K86" s="3119"/>
      <c r="L86" s="3120"/>
      <c r="M86" s="3041"/>
      <c r="N86" s="3041"/>
      <c r="O86" s="3041"/>
      <c r="P86" s="3041"/>
      <c r="Q86" s="3110"/>
      <c r="R86" s="3125"/>
      <c r="S86" s="3126"/>
      <c r="T86" s="3125"/>
      <c r="U86" s="3126"/>
      <c r="V86" s="3120"/>
      <c r="W86" s="3120"/>
    </row>
    <row r="87" spans="1:23" hidden="1" x14ac:dyDescent="0.35">
      <c r="A87" s="3094"/>
      <c r="B87" s="3095"/>
      <c r="C87" s="3096"/>
      <c r="D87" s="996" t="s">
        <v>709</v>
      </c>
      <c r="E87" s="997"/>
      <c r="F87" s="997"/>
      <c r="G87" s="997"/>
      <c r="H87" s="997"/>
      <c r="I87" s="997"/>
      <c r="J87" s="998"/>
      <c r="K87" s="3119"/>
      <c r="L87" s="3120"/>
      <c r="M87" s="3041"/>
      <c r="N87" s="3041"/>
      <c r="O87" s="3041"/>
      <c r="P87" s="3041"/>
      <c r="Q87" s="3110"/>
      <c r="R87" s="3125"/>
      <c r="S87" s="3126"/>
      <c r="T87" s="3125"/>
      <c r="U87" s="3126"/>
      <c r="V87" s="3120"/>
      <c r="W87" s="3120"/>
    </row>
    <row r="88" spans="1:23" hidden="1" x14ac:dyDescent="0.35">
      <c r="A88" s="3094"/>
      <c r="B88" s="3095"/>
      <c r="C88" s="3096"/>
      <c r="D88" s="996" t="s">
        <v>710</v>
      </c>
      <c r="E88" s="997"/>
      <c r="F88" s="997"/>
      <c r="G88" s="997"/>
      <c r="H88" s="997"/>
      <c r="I88" s="997"/>
      <c r="J88" s="998"/>
      <c r="K88" s="3119"/>
      <c r="L88" s="3120"/>
      <c r="M88" s="3041"/>
      <c r="N88" s="3041"/>
      <c r="O88" s="3041"/>
      <c r="P88" s="3041"/>
      <c r="Q88" s="3110"/>
      <c r="R88" s="3125"/>
      <c r="S88" s="3126"/>
      <c r="T88" s="3125"/>
      <c r="U88" s="3126"/>
      <c r="V88" s="3120"/>
      <c r="W88" s="3120"/>
    </row>
    <row r="89" spans="1:23" ht="16" hidden="1" thickBot="1" x14ac:dyDescent="0.4">
      <c r="A89" s="3018"/>
      <c r="B89" s="3019"/>
      <c r="C89" s="3020"/>
      <c r="D89" s="985" t="s">
        <v>711</v>
      </c>
      <c r="E89" s="986"/>
      <c r="F89" s="986"/>
      <c r="G89" s="986"/>
      <c r="H89" s="986"/>
      <c r="I89" s="986"/>
      <c r="J89" s="987"/>
      <c r="K89" s="3121"/>
      <c r="L89" s="3122"/>
      <c r="M89" s="3041"/>
      <c r="N89" s="3041"/>
      <c r="O89" s="3041"/>
      <c r="P89" s="3041"/>
      <c r="Q89" s="3110"/>
      <c r="R89" s="3127"/>
      <c r="S89" s="3128"/>
      <c r="T89" s="3127"/>
      <c r="U89" s="3128"/>
      <c r="V89" s="3122"/>
      <c r="W89" s="3122"/>
    </row>
    <row r="90" spans="1:23" ht="15.65" hidden="1" customHeight="1" thickBot="1" x14ac:dyDescent="0.4">
      <c r="A90" s="3015" t="s">
        <v>712</v>
      </c>
      <c r="B90" s="3016"/>
      <c r="C90" s="3017"/>
      <c r="D90" s="996" t="s">
        <v>713</v>
      </c>
      <c r="E90" s="997"/>
      <c r="F90" s="997"/>
      <c r="G90" s="997"/>
      <c r="H90" s="997"/>
      <c r="I90" s="997"/>
      <c r="J90" s="998"/>
      <c r="K90" s="3117"/>
      <c r="L90" s="3118"/>
      <c r="M90" s="3041">
        <v>340</v>
      </c>
      <c r="N90" s="3041"/>
      <c r="O90" s="3041"/>
      <c r="P90" s="3041">
        <f>M90+N90+O90</f>
        <v>340</v>
      </c>
      <c r="Q90" s="3110">
        <v>69.581779999999995</v>
      </c>
      <c r="R90" s="3123"/>
      <c r="S90" s="3124"/>
      <c r="T90" s="3123"/>
      <c r="U90" s="3124"/>
      <c r="V90" s="3118"/>
      <c r="W90" s="3118"/>
    </row>
    <row r="91" spans="1:23" ht="15.65" hidden="1" customHeight="1" thickBot="1" x14ac:dyDescent="0.4">
      <c r="A91" s="3094"/>
      <c r="B91" s="3095"/>
      <c r="C91" s="3096"/>
      <c r="D91" s="996" t="s">
        <v>714</v>
      </c>
      <c r="E91" s="997"/>
      <c r="F91" s="997"/>
      <c r="G91" s="997"/>
      <c r="H91" s="997"/>
      <c r="I91" s="997"/>
      <c r="J91" s="998"/>
      <c r="K91" s="3119"/>
      <c r="L91" s="3120"/>
      <c r="M91" s="3041"/>
      <c r="N91" s="3041"/>
      <c r="O91" s="3041"/>
      <c r="P91" s="3041"/>
      <c r="Q91" s="3110"/>
      <c r="R91" s="3125"/>
      <c r="S91" s="3126"/>
      <c r="T91" s="3125"/>
      <c r="U91" s="3126"/>
      <c r="V91" s="3120"/>
      <c r="W91" s="3120"/>
    </row>
    <row r="92" spans="1:23" ht="15.65" hidden="1" customHeight="1" thickBot="1" x14ac:dyDescent="0.4">
      <c r="A92" s="3094"/>
      <c r="B92" s="3095"/>
      <c r="C92" s="3096"/>
      <c r="D92" s="996" t="s">
        <v>715</v>
      </c>
      <c r="E92" s="997"/>
      <c r="F92" s="997"/>
      <c r="G92" s="997"/>
      <c r="H92" s="997"/>
      <c r="I92" s="997"/>
      <c r="J92" s="998"/>
      <c r="K92" s="3119"/>
      <c r="L92" s="3120"/>
      <c r="M92" s="3041"/>
      <c r="N92" s="3041"/>
      <c r="O92" s="3041"/>
      <c r="P92" s="3041"/>
      <c r="Q92" s="3110"/>
      <c r="R92" s="3125"/>
      <c r="S92" s="3126"/>
      <c r="T92" s="3125"/>
      <c r="U92" s="3126"/>
      <c r="V92" s="3120"/>
      <c r="W92" s="3120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21"/>
      <c r="L93" s="3122"/>
      <c r="M93" s="1728"/>
      <c r="N93" s="1728"/>
      <c r="O93" s="1728"/>
      <c r="P93" s="1728"/>
      <c r="Q93" s="1730"/>
      <c r="R93" s="3125"/>
      <c r="S93" s="3126"/>
      <c r="T93" s="3125"/>
      <c r="U93" s="3126"/>
      <c r="V93" s="3122"/>
      <c r="W93" s="3122"/>
    </row>
    <row r="94" spans="1:23" ht="15.75" customHeight="1" x14ac:dyDescent="0.35">
      <c r="A94" s="3063" t="s">
        <v>716</v>
      </c>
      <c r="B94" s="3064"/>
      <c r="C94" s="3065"/>
      <c r="D94" s="3084" t="s">
        <v>717</v>
      </c>
      <c r="E94" s="3085"/>
      <c r="F94" s="3085"/>
      <c r="G94" s="3085"/>
      <c r="H94" s="3085"/>
      <c r="I94" s="3085"/>
      <c r="J94" s="3086"/>
      <c r="K94" s="3104">
        <f>K96</f>
        <v>20</v>
      </c>
      <c r="L94" s="3105"/>
      <c r="M94" s="1728"/>
      <c r="N94" s="1728"/>
      <c r="O94" s="1728"/>
      <c r="P94" s="1728"/>
      <c r="Q94" s="1730"/>
      <c r="R94" s="3138">
        <f>R96</f>
        <v>10</v>
      </c>
      <c r="S94" s="3139"/>
      <c r="T94" s="3138">
        <f>T96</f>
        <v>11</v>
      </c>
      <c r="U94" s="3139"/>
      <c r="V94" s="3105">
        <f>V96</f>
        <v>20</v>
      </c>
      <c r="W94" s="3105">
        <f>W96</f>
        <v>20</v>
      </c>
    </row>
    <row r="95" spans="1:23" ht="15.75" customHeight="1" thickBot="1" x14ac:dyDescent="0.4">
      <c r="A95" s="3066"/>
      <c r="B95" s="3067"/>
      <c r="C95" s="3068"/>
      <c r="D95" s="3087"/>
      <c r="E95" s="3088"/>
      <c r="F95" s="3088"/>
      <c r="G95" s="3088"/>
      <c r="H95" s="3088"/>
      <c r="I95" s="3088"/>
      <c r="J95" s="3089"/>
      <c r="K95" s="3108"/>
      <c r="L95" s="3109"/>
      <c r="M95" s="1728"/>
      <c r="N95" s="1728"/>
      <c r="O95" s="1728"/>
      <c r="P95" s="1728"/>
      <c r="Q95" s="1730"/>
      <c r="R95" s="3169"/>
      <c r="S95" s="3170"/>
      <c r="T95" s="3169"/>
      <c r="U95" s="3170"/>
      <c r="V95" s="3109"/>
      <c r="W95" s="3109"/>
    </row>
    <row r="96" spans="1:23" ht="15.75" customHeight="1" x14ac:dyDescent="0.35">
      <c r="A96" s="3015" t="s">
        <v>1000</v>
      </c>
      <c r="B96" s="3016"/>
      <c r="C96" s="3017"/>
      <c r="D96" s="3177" t="s">
        <v>999</v>
      </c>
      <c r="E96" s="3178"/>
      <c r="F96" s="3178"/>
      <c r="G96" s="3178"/>
      <c r="H96" s="3178"/>
      <c r="I96" s="3178"/>
      <c r="J96" s="3179"/>
      <c r="K96" s="3117">
        <v>20</v>
      </c>
      <c r="L96" s="3118"/>
      <c r="M96" s="1728"/>
      <c r="N96" s="1728"/>
      <c r="O96" s="1728"/>
      <c r="P96" s="1728"/>
      <c r="Q96" s="1730"/>
      <c r="R96" s="3123">
        <v>10</v>
      </c>
      <c r="S96" s="3124"/>
      <c r="T96" s="3123">
        <v>11</v>
      </c>
      <c r="U96" s="3124"/>
      <c r="V96" s="3118">
        <v>20</v>
      </c>
      <c r="W96" s="3118">
        <v>20</v>
      </c>
    </row>
    <row r="97" spans="1:28" ht="27" customHeight="1" thickBot="1" x14ac:dyDescent="0.4">
      <c r="A97" s="3018"/>
      <c r="B97" s="3019"/>
      <c r="C97" s="3020"/>
      <c r="D97" s="3180"/>
      <c r="E97" s="3181"/>
      <c r="F97" s="3181"/>
      <c r="G97" s="3181"/>
      <c r="H97" s="3181"/>
      <c r="I97" s="3181"/>
      <c r="J97" s="3182"/>
      <c r="K97" s="3121"/>
      <c r="L97" s="3122"/>
      <c r="M97" s="1728"/>
      <c r="N97" s="1728"/>
      <c r="O97" s="1728"/>
      <c r="P97" s="1728"/>
      <c r="Q97" s="1730"/>
      <c r="R97" s="3183"/>
      <c r="S97" s="3184"/>
      <c r="T97" s="3183"/>
      <c r="U97" s="3184"/>
      <c r="V97" s="3122"/>
      <c r="W97" s="3122"/>
    </row>
    <row r="98" spans="1:28" ht="15" x14ac:dyDescent="0.3">
      <c r="A98" s="3025" t="s">
        <v>720</v>
      </c>
      <c r="B98" s="3026"/>
      <c r="C98" s="3027"/>
      <c r="D98" s="976"/>
      <c r="E98" s="977"/>
      <c r="F98" s="977"/>
      <c r="G98" s="977"/>
      <c r="H98" s="977"/>
      <c r="I98" s="977"/>
      <c r="J98" s="978"/>
      <c r="K98" s="3104">
        <f>K100</f>
        <v>25</v>
      </c>
      <c r="L98" s="3105"/>
      <c r="M98" s="3041">
        <v>90</v>
      </c>
      <c r="N98" s="3041"/>
      <c r="O98" s="3041"/>
      <c r="P98" s="3041">
        <f>P100</f>
        <v>150</v>
      </c>
      <c r="Q98" s="3110">
        <v>129.83756</v>
      </c>
      <c r="R98" s="3138">
        <f>R100</f>
        <v>21</v>
      </c>
      <c r="S98" s="3139"/>
      <c r="T98" s="3138">
        <f>T100</f>
        <v>22</v>
      </c>
      <c r="U98" s="3139"/>
      <c r="V98" s="3105">
        <f>V100</f>
        <v>25</v>
      </c>
      <c r="W98" s="3105">
        <f>W100</f>
        <v>25</v>
      </c>
    </row>
    <row r="99" spans="1:28" thickBot="1" x14ac:dyDescent="0.35">
      <c r="A99" s="3028"/>
      <c r="B99" s="3029"/>
      <c r="C99" s="3030"/>
      <c r="D99" s="1009" t="s">
        <v>721</v>
      </c>
      <c r="E99" s="1010"/>
      <c r="F99" s="1010"/>
      <c r="G99" s="1010"/>
      <c r="H99" s="1010"/>
      <c r="I99" s="1010"/>
      <c r="J99" s="1011"/>
      <c r="K99" s="3108"/>
      <c r="L99" s="3109"/>
      <c r="M99" s="3041"/>
      <c r="N99" s="3041"/>
      <c r="O99" s="3041"/>
      <c r="P99" s="3041"/>
      <c r="Q99" s="3110"/>
      <c r="R99" s="3169"/>
      <c r="S99" s="3170"/>
      <c r="T99" s="3169"/>
      <c r="U99" s="3170"/>
      <c r="V99" s="3109"/>
      <c r="W99" s="3109"/>
    </row>
    <row r="100" spans="1:28" ht="15" customHeight="1" x14ac:dyDescent="0.3">
      <c r="A100" s="3012" t="s">
        <v>722</v>
      </c>
      <c r="B100" s="3013"/>
      <c r="C100" s="3014"/>
      <c r="D100" s="976"/>
      <c r="E100" s="977"/>
      <c r="F100" s="977"/>
      <c r="G100" s="977"/>
      <c r="H100" s="977"/>
      <c r="I100" s="977"/>
      <c r="J100" s="978"/>
      <c r="K100" s="3117">
        <v>25</v>
      </c>
      <c r="L100" s="3118"/>
      <c r="M100" s="3041">
        <v>90</v>
      </c>
      <c r="N100" s="3041">
        <v>30</v>
      </c>
      <c r="O100" s="3041">
        <v>30</v>
      </c>
      <c r="P100" s="3041">
        <f>M100+N100+O100</f>
        <v>150</v>
      </c>
      <c r="Q100" s="3110">
        <v>117.42055999999999</v>
      </c>
      <c r="R100" s="3123">
        <v>21</v>
      </c>
      <c r="S100" s="3124"/>
      <c r="T100" s="3123">
        <v>22</v>
      </c>
      <c r="U100" s="3124"/>
      <c r="V100" s="3118">
        <v>25</v>
      </c>
      <c r="W100" s="3118">
        <v>25</v>
      </c>
    </row>
    <row r="101" spans="1:28" ht="16" thickBot="1" x14ac:dyDescent="0.4">
      <c r="A101" s="3006"/>
      <c r="B101" s="2999"/>
      <c r="C101" s="3007"/>
      <c r="D101" s="1003" t="s">
        <v>723</v>
      </c>
      <c r="E101" s="1010"/>
      <c r="F101" s="1010"/>
      <c r="G101" s="1010"/>
      <c r="H101" s="1010"/>
      <c r="I101" s="1010"/>
      <c r="J101" s="1011"/>
      <c r="K101" s="3121"/>
      <c r="L101" s="3122"/>
      <c r="M101" s="3041"/>
      <c r="N101" s="3041"/>
      <c r="O101" s="3041"/>
      <c r="P101" s="3041"/>
      <c r="Q101" s="3110"/>
      <c r="R101" s="3183"/>
      <c r="S101" s="3184"/>
      <c r="T101" s="3183"/>
      <c r="U101" s="3184"/>
      <c r="V101" s="3120"/>
      <c r="W101" s="3122"/>
    </row>
    <row r="102" spans="1:28" ht="15" x14ac:dyDescent="0.3">
      <c r="A102" s="3025" t="s">
        <v>724</v>
      </c>
      <c r="B102" s="3026"/>
      <c r="C102" s="3027"/>
      <c r="D102" s="976"/>
      <c r="E102" s="977"/>
      <c r="F102" s="977"/>
      <c r="G102" s="977"/>
      <c r="H102" s="977"/>
      <c r="I102" s="977"/>
      <c r="J102" s="978"/>
      <c r="K102" s="3104">
        <f>K105+K107+K108+K111+K112+K115</f>
        <v>20390</v>
      </c>
      <c r="L102" s="3105"/>
      <c r="M102" s="3041">
        <v>8484.0619999999999</v>
      </c>
      <c r="N102" s="3041"/>
      <c r="O102" s="3041"/>
      <c r="P102" s="3041">
        <f>P105+P111+P112+P113+P115</f>
        <v>8524.0619999999999</v>
      </c>
      <c r="Q102" s="3110">
        <v>3580.9459499999998</v>
      </c>
      <c r="R102" s="3193">
        <f>R105+R111+R112+R113+R115+R106+S108+R114+R110+R109</f>
        <v>810.5</v>
      </c>
      <c r="S102" s="3194"/>
      <c r="T102" s="3193">
        <f>T105+T111+T112+T113+T115+T106+U108+T114+T110+T109</f>
        <v>818.5</v>
      </c>
      <c r="U102" s="3422"/>
      <c r="V102" s="3449">
        <f>V105+V107+V108+V111+V112+V115+V106</f>
        <v>22452.500000000004</v>
      </c>
      <c r="W102" s="3105">
        <f>W105+W107+W108+W111+W112+W115</f>
        <v>19031.2</v>
      </c>
    </row>
    <row r="103" spans="1:28" ht="15" x14ac:dyDescent="0.3">
      <c r="A103" s="3205"/>
      <c r="B103" s="3206"/>
      <c r="C103" s="3207"/>
      <c r="D103" s="999" t="s">
        <v>725</v>
      </c>
      <c r="E103" s="1000"/>
      <c r="F103" s="1000"/>
      <c r="G103" s="1000"/>
      <c r="H103" s="1000"/>
      <c r="I103" s="1000"/>
      <c r="J103" s="1001"/>
      <c r="K103" s="3106"/>
      <c r="L103" s="3107"/>
      <c r="M103" s="3041"/>
      <c r="N103" s="3041"/>
      <c r="O103" s="3041"/>
      <c r="P103" s="3041"/>
      <c r="Q103" s="3110"/>
      <c r="R103" s="3195"/>
      <c r="S103" s="3196"/>
      <c r="T103" s="3195"/>
      <c r="U103" s="3423"/>
      <c r="V103" s="3450"/>
      <c r="W103" s="3107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08"/>
      <c r="L104" s="3109"/>
      <c r="M104" s="1728"/>
      <c r="N104" s="1728"/>
      <c r="O104" s="1728"/>
      <c r="P104" s="1728"/>
      <c r="Q104" s="1730"/>
      <c r="R104" s="3197"/>
      <c r="S104" s="3198"/>
      <c r="T104" s="3197"/>
      <c r="U104" s="3424"/>
      <c r="V104" s="3451"/>
      <c r="W104" s="3109"/>
    </row>
    <row r="105" spans="1:28" ht="34.5" customHeight="1" thickBot="1" x14ac:dyDescent="0.4">
      <c r="A105" s="3185" t="s">
        <v>976</v>
      </c>
      <c r="B105" s="3186"/>
      <c r="C105" s="3187"/>
      <c r="D105" s="3188" t="s">
        <v>864</v>
      </c>
      <c r="E105" s="3199"/>
      <c r="F105" s="3199"/>
      <c r="G105" s="3199"/>
      <c r="H105" s="3199"/>
      <c r="I105" s="3199"/>
      <c r="J105" s="3200"/>
      <c r="K105" s="3201">
        <v>17766.7</v>
      </c>
      <c r="L105" s="3202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203"/>
      <c r="S105" s="3204"/>
      <c r="T105" s="3203"/>
      <c r="U105" s="3204"/>
      <c r="V105" s="1823">
        <v>18356</v>
      </c>
      <c r="W105" s="1737">
        <v>18974.099999999999</v>
      </c>
    </row>
    <row r="106" spans="1:28" ht="34.5" customHeight="1" thickBot="1" x14ac:dyDescent="0.4">
      <c r="A106" s="3210" t="s">
        <v>1001</v>
      </c>
      <c r="B106" s="3211"/>
      <c r="C106" s="3212"/>
      <c r="D106" s="3452" t="s">
        <v>1002</v>
      </c>
      <c r="E106" s="3453"/>
      <c r="F106" s="3453"/>
      <c r="G106" s="3453"/>
      <c r="H106" s="3453"/>
      <c r="I106" s="3453"/>
      <c r="J106" s="3454"/>
      <c r="K106" s="3455"/>
      <c r="L106" s="3456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3210" t="s">
        <v>975</v>
      </c>
      <c r="B107" s="3211"/>
      <c r="C107" s="3212"/>
      <c r="D107" s="3188" t="s">
        <v>888</v>
      </c>
      <c r="E107" s="3189"/>
      <c r="F107" s="3189"/>
      <c r="G107" s="3189"/>
      <c r="H107" s="3189"/>
      <c r="I107" s="3189"/>
      <c r="J107" s="3190"/>
      <c r="K107" s="3240">
        <f>388.9-5.7</f>
        <v>383.2</v>
      </c>
      <c r="L107" s="3241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3185" t="s">
        <v>974</v>
      </c>
      <c r="B108" s="3186"/>
      <c r="C108" s="3187"/>
      <c r="D108" s="3188" t="s">
        <v>890</v>
      </c>
      <c r="E108" s="3189"/>
      <c r="F108" s="3189"/>
      <c r="G108" s="3189"/>
      <c r="H108" s="3189"/>
      <c r="I108" s="3189"/>
      <c r="J108" s="3190"/>
      <c r="K108" s="3201">
        <v>1333.1</v>
      </c>
      <c r="L108" s="3202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3185" t="s">
        <v>731</v>
      </c>
      <c r="B109" s="3186"/>
      <c r="C109" s="3187"/>
      <c r="D109" s="3213" t="s">
        <v>732</v>
      </c>
      <c r="E109" s="3214"/>
      <c r="F109" s="3214"/>
      <c r="G109" s="3214"/>
      <c r="H109" s="3214"/>
      <c r="I109" s="3214"/>
      <c r="J109" s="3215"/>
      <c r="K109" s="3216"/>
      <c r="L109" s="3217"/>
      <c r="M109" s="1728"/>
      <c r="N109" s="1728"/>
      <c r="O109" s="1728"/>
      <c r="P109" s="1728"/>
      <c r="Q109" s="1730"/>
      <c r="R109" s="3218"/>
      <c r="S109" s="3219"/>
      <c r="T109" s="3218"/>
      <c r="U109" s="3219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3185" t="s">
        <v>733</v>
      </c>
      <c r="B110" s="3186"/>
      <c r="C110" s="3187"/>
      <c r="D110" s="3220" t="s">
        <v>734</v>
      </c>
      <c r="E110" s="3221"/>
      <c r="F110" s="3221"/>
      <c r="G110" s="3221"/>
      <c r="H110" s="3221"/>
      <c r="I110" s="3221"/>
      <c r="J110" s="3222"/>
      <c r="K110" s="3216"/>
      <c r="L110" s="3217"/>
      <c r="M110" s="1728"/>
      <c r="N110" s="1728"/>
      <c r="O110" s="1728"/>
      <c r="P110" s="1728"/>
      <c r="Q110" s="1730"/>
      <c r="R110" s="3218"/>
      <c r="S110" s="3219"/>
      <c r="T110" s="3218"/>
      <c r="U110" s="3219"/>
      <c r="V110" s="1738"/>
      <c r="W110" s="1738"/>
      <c r="X110" s="1791"/>
      <c r="Y110" s="1790"/>
      <c r="Z110" s="1790"/>
    </row>
    <row r="111" spans="1:28" ht="36.75" customHeight="1" thickBot="1" x14ac:dyDescent="0.4">
      <c r="A111" s="3185" t="s">
        <v>973</v>
      </c>
      <c r="B111" s="3186"/>
      <c r="C111" s="3187"/>
      <c r="D111" s="3188" t="s">
        <v>736</v>
      </c>
      <c r="E111" s="3199"/>
      <c r="F111" s="3199"/>
      <c r="G111" s="3199"/>
      <c r="H111" s="3199"/>
      <c r="I111" s="3199"/>
      <c r="J111" s="3200"/>
      <c r="K111" s="3216">
        <v>844.2</v>
      </c>
      <c r="L111" s="3217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218"/>
      <c r="S111" s="3219"/>
      <c r="T111" s="3218"/>
      <c r="U111" s="3219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3185" t="s">
        <v>972</v>
      </c>
      <c r="B112" s="3186"/>
      <c r="C112" s="3187"/>
      <c r="D112" s="3188" t="s">
        <v>889</v>
      </c>
      <c r="E112" s="3199"/>
      <c r="F112" s="3199"/>
      <c r="G112" s="3199"/>
      <c r="H112" s="3199"/>
      <c r="I112" s="3199"/>
      <c r="J112" s="3200"/>
      <c r="K112" s="3216">
        <f>7.1-0.06</f>
        <v>7.04</v>
      </c>
      <c r="L112" s="3217"/>
      <c r="M112" s="1728">
        <v>10</v>
      </c>
      <c r="N112" s="1728"/>
      <c r="O112" s="1728"/>
      <c r="P112" s="1728">
        <v>10</v>
      </c>
      <c r="Q112" s="1730">
        <v>10</v>
      </c>
      <c r="R112" s="3218">
        <v>598.5</v>
      </c>
      <c r="S112" s="3219"/>
      <c r="T112" s="3218">
        <v>598.5</v>
      </c>
      <c r="U112" s="3219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3185" t="s">
        <v>738</v>
      </c>
      <c r="B113" s="3186"/>
      <c r="C113" s="3187"/>
      <c r="D113" s="3188" t="s">
        <v>739</v>
      </c>
      <c r="E113" s="3199"/>
      <c r="F113" s="3199"/>
      <c r="G113" s="3199"/>
      <c r="H113" s="3199"/>
      <c r="I113" s="3199"/>
      <c r="J113" s="3200"/>
      <c r="K113" s="3216"/>
      <c r="L113" s="3217"/>
      <c r="M113" s="1728">
        <v>613</v>
      </c>
      <c r="N113" s="1728"/>
      <c r="O113" s="1728"/>
      <c r="P113" s="1728">
        <v>613</v>
      </c>
      <c r="Q113" s="1730">
        <v>613</v>
      </c>
      <c r="R113" s="3218"/>
      <c r="S113" s="3219"/>
      <c r="T113" s="3218"/>
      <c r="U113" s="3219"/>
      <c r="V113" s="1738"/>
      <c r="W113" s="1738"/>
    </row>
    <row r="114" spans="1:26" ht="58.9" hidden="1" customHeight="1" thickBot="1" x14ac:dyDescent="0.4">
      <c r="A114" s="3185" t="s">
        <v>740</v>
      </c>
      <c r="B114" s="3186"/>
      <c r="C114" s="3187"/>
      <c r="D114" s="3188" t="s">
        <v>741</v>
      </c>
      <c r="E114" s="3199"/>
      <c r="F114" s="3199"/>
      <c r="G114" s="3199"/>
      <c r="H114" s="3199"/>
      <c r="I114" s="3199"/>
      <c r="J114" s="3200"/>
      <c r="K114" s="3227"/>
      <c r="L114" s="3228"/>
      <c r="M114" s="1728"/>
      <c r="N114" s="1728"/>
      <c r="O114" s="1728"/>
      <c r="P114" s="1728"/>
      <c r="Q114" s="1730"/>
      <c r="R114" s="3229"/>
      <c r="S114" s="3230"/>
      <c r="T114" s="3229"/>
      <c r="U114" s="3230"/>
      <c r="V114" s="1740"/>
      <c r="W114" s="1740"/>
    </row>
    <row r="115" spans="1:26" ht="34.5" customHeight="1" thickBot="1" x14ac:dyDescent="0.4">
      <c r="A115" s="3185" t="s">
        <v>971</v>
      </c>
      <c r="B115" s="3186"/>
      <c r="C115" s="3187"/>
      <c r="D115" s="3231" t="s">
        <v>743</v>
      </c>
      <c r="E115" s="3232"/>
      <c r="F115" s="3232"/>
      <c r="G115" s="3232"/>
      <c r="H115" s="3232"/>
      <c r="I115" s="3232"/>
      <c r="J115" s="3233"/>
      <c r="K115" s="3201">
        <f>50+0.06+5.7</f>
        <v>55.760000000000005</v>
      </c>
      <c r="L115" s="3202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234">
        <v>212</v>
      </c>
      <c r="S115" s="3235"/>
      <c r="T115" s="3234">
        <v>220</v>
      </c>
      <c r="U115" s="3235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3025" t="s">
        <v>744</v>
      </c>
      <c r="B116" s="3026"/>
      <c r="C116" s="3027"/>
      <c r="D116" s="982"/>
      <c r="E116" s="983"/>
      <c r="F116" s="983"/>
      <c r="G116" s="983"/>
      <c r="H116" s="983"/>
      <c r="I116" s="983"/>
      <c r="J116" s="984"/>
      <c r="K116" s="3104">
        <f>K102+K32</f>
        <v>96512.440999999992</v>
      </c>
      <c r="L116" s="3105"/>
      <c r="M116" s="3041">
        <v>25719.42</v>
      </c>
      <c r="N116" s="3041"/>
      <c r="O116" s="3041"/>
      <c r="P116" s="3135">
        <f>P32+P102</f>
        <v>33106.455999999998</v>
      </c>
      <c r="Q116" s="3041"/>
      <c r="R116" s="3193">
        <f>R32+R102</f>
        <v>74406.700000000012</v>
      </c>
      <c r="S116" s="3194"/>
      <c r="T116" s="3193">
        <f>T32+T102</f>
        <v>76479.200000000012</v>
      </c>
      <c r="U116" s="3194"/>
      <c r="V116" s="3105">
        <f>V102+V32</f>
        <v>100309.36500000001</v>
      </c>
      <c r="W116" s="3105">
        <f>W102+W32</f>
        <v>98590.785999999993</v>
      </c>
    </row>
    <row r="117" spans="1:26" ht="16.5" customHeight="1" thickBot="1" x14ac:dyDescent="0.4">
      <c r="A117" s="3028"/>
      <c r="B117" s="3029"/>
      <c r="C117" s="3030"/>
      <c r="D117" s="979"/>
      <c r="E117" s="980"/>
      <c r="F117" s="980"/>
      <c r="G117" s="986"/>
      <c r="H117" s="986"/>
      <c r="I117" s="986"/>
      <c r="J117" s="987"/>
      <c r="K117" s="3108"/>
      <c r="L117" s="3109"/>
      <c r="M117" s="3458"/>
      <c r="N117" s="3458"/>
      <c r="O117" s="3458"/>
      <c r="P117" s="3457"/>
      <c r="Q117" s="3458"/>
      <c r="R117" s="3197"/>
      <c r="S117" s="3198"/>
      <c r="T117" s="3197"/>
      <c r="U117" s="3198"/>
      <c r="V117" s="3109"/>
      <c r="W117" s="3109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41"/>
  <sheetViews>
    <sheetView view="pageBreakPreview" topLeftCell="A11" zoomScale="60" zoomScaleNormal="70" workbookViewId="0">
      <selection activeCell="V38" sqref="V38:V39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8.54296875" style="443" customWidth="1"/>
    <col min="13" max="16" width="17.453125" style="221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2.1796875" style="547" hidden="1" customWidth="1"/>
    <col min="22" max="22" width="18" style="547" customWidth="1"/>
    <col min="23" max="23" width="18.17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860"/>
    </row>
    <row r="2" spans="8:24" hidden="1" x14ac:dyDescent="0.35">
      <c r="J2" s="541"/>
      <c r="L2" s="869" t="s">
        <v>450</v>
      </c>
      <c r="M2" s="2860"/>
      <c r="N2" s="2860"/>
    </row>
    <row r="3" spans="8:24" hidden="1" x14ac:dyDescent="0.35">
      <c r="H3" s="541"/>
      <c r="I3" s="541"/>
      <c r="J3" s="541"/>
      <c r="L3" s="869" t="s">
        <v>626</v>
      </c>
      <c r="M3" s="2860"/>
      <c r="N3" s="2860"/>
      <c r="O3" s="2860"/>
      <c r="P3" s="2860"/>
    </row>
    <row r="4" spans="8:24" hidden="1" x14ac:dyDescent="0.35">
      <c r="I4" s="541"/>
      <c r="J4" s="541"/>
      <c r="L4" s="869" t="s">
        <v>448</v>
      </c>
      <c r="M4" s="2860"/>
      <c r="N4" s="2860"/>
      <c r="O4" s="2860"/>
    </row>
    <row r="5" spans="8:24" hidden="1" x14ac:dyDescent="0.35">
      <c r="I5" s="541"/>
      <c r="J5" s="541"/>
      <c r="L5" s="869" t="s">
        <v>448</v>
      </c>
      <c r="M5" s="2860"/>
      <c r="N5" s="2860"/>
      <c r="O5" s="2860"/>
    </row>
    <row r="6" spans="8:24" hidden="1" x14ac:dyDescent="0.35">
      <c r="J6" s="541"/>
      <c r="L6" s="2216" t="s">
        <v>627</v>
      </c>
      <c r="M6" s="2872"/>
      <c r="N6" s="2872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t="6" customHeight="1" x14ac:dyDescent="0.35">
      <c r="L11" s="869"/>
    </row>
    <row r="12" spans="8:24" ht="14.15" customHeight="1" x14ac:dyDescent="0.35">
      <c r="K12" s="3315" t="s">
        <v>1236</v>
      </c>
      <c r="L12" s="3315"/>
      <c r="M12" s="3315"/>
      <c r="N12" s="3315"/>
      <c r="O12" s="3315"/>
      <c r="P12" s="3315"/>
      <c r="Q12" s="3315"/>
      <c r="R12" s="3315"/>
      <c r="S12" s="3315"/>
      <c r="T12" s="3315"/>
      <c r="U12" s="3315"/>
      <c r="V12" s="3315"/>
      <c r="W12" s="3315"/>
      <c r="X12" s="3315"/>
    </row>
    <row r="13" spans="8:24" ht="11.15" customHeight="1" x14ac:dyDescent="0.35">
      <c r="K13" s="3315" t="s">
        <v>450</v>
      </c>
      <c r="L13" s="3315"/>
      <c r="M13" s="3315"/>
      <c r="N13" s="3315"/>
      <c r="O13" s="3315"/>
      <c r="P13" s="3315"/>
      <c r="Q13" s="3315"/>
      <c r="R13" s="3315"/>
      <c r="S13" s="3315"/>
      <c r="T13" s="3315"/>
      <c r="U13" s="3315"/>
      <c r="V13" s="3315"/>
      <c r="W13" s="3315"/>
      <c r="X13" s="3315"/>
    </row>
    <row r="14" spans="8:24" ht="13" customHeight="1" x14ac:dyDescent="0.35">
      <c r="K14" s="3315" t="s">
        <v>449</v>
      </c>
      <c r="L14" s="3315"/>
      <c r="M14" s="3315"/>
      <c r="N14" s="3315"/>
      <c r="O14" s="3315"/>
      <c r="P14" s="3315"/>
      <c r="Q14" s="3315"/>
      <c r="R14" s="3315"/>
      <c r="S14" s="3315"/>
      <c r="T14" s="3315"/>
      <c r="U14" s="3315"/>
      <c r="V14" s="3315"/>
      <c r="W14" s="3315"/>
      <c r="X14" s="3315"/>
    </row>
    <row r="15" spans="8:24" ht="15.65" customHeight="1" x14ac:dyDescent="0.35">
      <c r="K15" s="3315" t="s">
        <v>448</v>
      </c>
      <c r="L15" s="3315"/>
      <c r="M15" s="3315"/>
      <c r="N15" s="3315"/>
      <c r="O15" s="3315"/>
      <c r="P15" s="3315"/>
      <c r="Q15" s="3315"/>
      <c r="R15" s="3315"/>
      <c r="S15" s="3315"/>
      <c r="T15" s="3315"/>
      <c r="U15" s="3315"/>
      <c r="V15" s="3315"/>
      <c r="W15" s="3315"/>
      <c r="X15" s="3315"/>
    </row>
    <row r="16" spans="8:24" ht="15.65" customHeight="1" x14ac:dyDescent="0.35">
      <c r="K16" s="3316" t="s">
        <v>1246</v>
      </c>
      <c r="L16" s="3316"/>
      <c r="M16" s="3316" t="s">
        <v>1225</v>
      </c>
      <c r="N16" s="3316"/>
      <c r="O16" s="3316" t="s">
        <v>1225</v>
      </c>
      <c r="P16" s="3316"/>
      <c r="Q16" s="3316" t="s">
        <v>1225</v>
      </c>
      <c r="R16" s="3316"/>
      <c r="S16" s="3316" t="s">
        <v>1225</v>
      </c>
      <c r="T16" s="3316"/>
      <c r="U16" s="3316" t="s">
        <v>1225</v>
      </c>
      <c r="V16" s="3316"/>
      <c r="W16" s="3316" t="s">
        <v>1225</v>
      </c>
      <c r="X16" s="3316"/>
    </row>
    <row r="17" spans="1:24" ht="19" customHeight="1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2997" t="s">
        <v>625</v>
      </c>
      <c r="V18" s="2997"/>
      <c r="W18" s="2997"/>
    </row>
    <row r="19" spans="1:24" x14ac:dyDescent="0.35">
      <c r="Q19" s="877"/>
      <c r="U19" s="2997" t="s">
        <v>450</v>
      </c>
      <c r="V19" s="2997"/>
      <c r="W19" s="2997"/>
    </row>
    <row r="20" spans="1:24" x14ac:dyDescent="0.35">
      <c r="K20" s="2997" t="s">
        <v>449</v>
      </c>
      <c r="L20" s="2997"/>
      <c r="M20" s="2997"/>
      <c r="N20" s="2997"/>
      <c r="O20" s="2997"/>
      <c r="P20" s="2997"/>
      <c r="Q20" s="2997"/>
      <c r="R20" s="2997"/>
      <c r="S20" s="2997"/>
      <c r="T20" s="2997"/>
      <c r="U20" s="2997"/>
      <c r="V20" s="2997"/>
      <c r="W20" s="2997"/>
    </row>
    <row r="21" spans="1:24" x14ac:dyDescent="0.35">
      <c r="K21" s="2997" t="s">
        <v>448</v>
      </c>
      <c r="L21" s="2997"/>
      <c r="M21" s="2997"/>
      <c r="N21" s="2997"/>
      <c r="O21" s="2997"/>
      <c r="P21" s="2997"/>
      <c r="Q21" s="2997"/>
      <c r="R21" s="2997"/>
      <c r="S21" s="2997"/>
      <c r="T21" s="2997"/>
      <c r="U21" s="2997"/>
      <c r="V21" s="2997"/>
      <c r="W21" s="2997"/>
    </row>
    <row r="22" spans="1:24" x14ac:dyDescent="0.25">
      <c r="K22" s="3328" t="s">
        <v>1223</v>
      </c>
      <c r="L22" s="3328"/>
      <c r="M22" s="3328"/>
      <c r="N22" s="3328"/>
      <c r="O22" s="3328"/>
      <c r="P22" s="3328"/>
      <c r="Q22" s="3328"/>
      <c r="R22" s="3328"/>
      <c r="S22" s="3328"/>
      <c r="T22" s="3328"/>
      <c r="U22" s="3328"/>
      <c r="V22" s="3328"/>
      <c r="W22" s="3328"/>
      <c r="X22" s="3328"/>
    </row>
    <row r="23" spans="1:24" hidden="1" x14ac:dyDescent="0.35">
      <c r="Q23" s="541"/>
      <c r="R23" s="2860"/>
      <c r="S23" s="2860"/>
      <c r="T23" s="2860"/>
      <c r="U23" s="2860"/>
    </row>
    <row r="24" spans="1:24" hidden="1" x14ac:dyDescent="0.35">
      <c r="L24" s="2860" t="s">
        <v>446</v>
      </c>
      <c r="Q24" s="541"/>
      <c r="R24" s="2860"/>
      <c r="S24" s="2860"/>
      <c r="T24" s="2860"/>
    </row>
    <row r="25" spans="1:24" hidden="1" x14ac:dyDescent="0.35">
      <c r="L25" s="541"/>
      <c r="Q25" s="541"/>
      <c r="R25" s="2860"/>
      <c r="S25" s="2860"/>
      <c r="T25" s="2860"/>
      <c r="U25" s="2860"/>
    </row>
    <row r="26" spans="1:24" hidden="1" x14ac:dyDescent="0.35">
      <c r="L26" s="2860" t="s">
        <v>842</v>
      </c>
      <c r="Q26" s="541"/>
      <c r="R26" s="2860"/>
      <c r="S26" s="2860"/>
      <c r="T26" s="2860"/>
    </row>
    <row r="27" spans="1:24" hidden="1" x14ac:dyDescent="0.35">
      <c r="J27" s="2860"/>
      <c r="K27" s="869"/>
      <c r="L27" s="2860"/>
    </row>
    <row r="28" spans="1:24" hidden="1" x14ac:dyDescent="0.35">
      <c r="J28" s="2860"/>
      <c r="K28" s="869"/>
      <c r="L28" s="869"/>
    </row>
    <row r="29" spans="1:24" hidden="1" x14ac:dyDescent="0.35"/>
    <row r="30" spans="1:24" ht="19.5" customHeight="1" x14ac:dyDescent="0.35">
      <c r="A30" s="2998" t="s">
        <v>629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M30" s="2998"/>
      <c r="N30" s="2998"/>
      <c r="O30" s="2998"/>
      <c r="P30" s="2998"/>
      <c r="Q30" s="2998"/>
      <c r="R30" s="2998"/>
      <c r="S30" s="2998"/>
      <c r="T30" s="2998"/>
      <c r="U30" s="2998"/>
      <c r="V30" s="2998"/>
      <c r="W30" s="2998"/>
    </row>
    <row r="31" spans="1:24" ht="17.5" x14ac:dyDescent="0.35">
      <c r="A31" s="2998" t="s">
        <v>630</v>
      </c>
      <c r="B31" s="2998"/>
      <c r="C31" s="2998"/>
      <c r="D31" s="2998"/>
      <c r="E31" s="2998"/>
      <c r="F31" s="2998"/>
      <c r="G31" s="2998"/>
      <c r="H31" s="2998"/>
      <c r="I31" s="2998"/>
      <c r="J31" s="2998"/>
      <c r="K31" s="2998"/>
      <c r="L31" s="2998"/>
      <c r="M31" s="2998"/>
      <c r="N31" s="2998"/>
      <c r="O31" s="2998"/>
      <c r="P31" s="2998"/>
      <c r="Q31" s="2998"/>
      <c r="R31" s="2998"/>
      <c r="S31" s="2998"/>
      <c r="T31" s="2998"/>
      <c r="U31" s="2998"/>
      <c r="V31" s="2998"/>
      <c r="W31" s="2998"/>
    </row>
    <row r="32" spans="1:24" ht="17.5" hidden="1" x14ac:dyDescent="0.35">
      <c r="A32" s="2998"/>
      <c r="B32" s="2998"/>
      <c r="C32" s="2998"/>
      <c r="D32" s="2998"/>
      <c r="E32" s="2998"/>
      <c r="F32" s="2998"/>
      <c r="G32" s="2998"/>
      <c r="H32" s="2998"/>
      <c r="I32" s="2998"/>
      <c r="J32" s="2998"/>
      <c r="K32" s="2998"/>
      <c r="L32" s="2998"/>
    </row>
    <row r="33" spans="1:23" ht="17.5" x14ac:dyDescent="0.35">
      <c r="A33" s="2998" t="s">
        <v>1195</v>
      </c>
      <c r="B33" s="2998"/>
      <c r="C33" s="2998"/>
      <c r="D33" s="2998"/>
      <c r="E33" s="2998"/>
      <c r="F33" s="2998"/>
      <c r="G33" s="2998"/>
      <c r="H33" s="2998"/>
      <c r="I33" s="2998"/>
      <c r="J33" s="2998"/>
      <c r="K33" s="2998"/>
      <c r="L33" s="2998"/>
      <c r="M33" s="2998"/>
      <c r="N33" s="2998"/>
      <c r="O33" s="2998"/>
      <c r="P33" s="2998"/>
      <c r="Q33" s="2998"/>
      <c r="R33" s="2998"/>
      <c r="S33" s="2998"/>
      <c r="T33" s="2998"/>
      <c r="U33" s="2998"/>
      <c r="V33" s="2998"/>
      <c r="W33" s="2998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999"/>
      <c r="L34" s="2999"/>
      <c r="R34" s="3000"/>
      <c r="S34" s="3000"/>
      <c r="T34" s="3000" t="s">
        <v>631</v>
      </c>
      <c r="U34" s="3000"/>
      <c r="W34" s="541" t="s">
        <v>631</v>
      </c>
    </row>
    <row r="35" spans="1:23" x14ac:dyDescent="0.35">
      <c r="A35" s="3012" t="s">
        <v>632</v>
      </c>
      <c r="B35" s="3013"/>
      <c r="C35" s="3014"/>
      <c r="D35" s="3015" t="s">
        <v>633</v>
      </c>
      <c r="E35" s="3016"/>
      <c r="F35" s="3016"/>
      <c r="G35" s="3016"/>
      <c r="H35" s="3016"/>
      <c r="I35" s="3016"/>
      <c r="J35" s="3017"/>
      <c r="K35" s="3015" t="s">
        <v>894</v>
      </c>
      <c r="L35" s="3017"/>
      <c r="M35" s="3326" t="s">
        <v>635</v>
      </c>
      <c r="N35" s="3023" t="s">
        <v>636</v>
      </c>
      <c r="O35" s="3023" t="s">
        <v>637</v>
      </c>
      <c r="P35" s="3326" t="s">
        <v>638</v>
      </c>
      <c r="Q35" s="3042" t="s">
        <v>639</v>
      </c>
      <c r="R35" s="3002" t="s">
        <v>634</v>
      </c>
      <c r="S35" s="3003"/>
      <c r="T35" s="3002" t="s">
        <v>640</v>
      </c>
      <c r="U35" s="3003"/>
      <c r="V35" s="3017" t="s">
        <v>993</v>
      </c>
      <c r="W35" s="3017" t="s">
        <v>1198</v>
      </c>
    </row>
    <row r="36" spans="1:23" ht="16" thickBot="1" x14ac:dyDescent="0.4">
      <c r="A36" s="3006" t="s">
        <v>641</v>
      </c>
      <c r="B36" s="2999"/>
      <c r="C36" s="3007"/>
      <c r="D36" s="3018"/>
      <c r="E36" s="3019"/>
      <c r="F36" s="3019"/>
      <c r="G36" s="3019"/>
      <c r="H36" s="3019"/>
      <c r="I36" s="3019"/>
      <c r="J36" s="3020"/>
      <c r="K36" s="3018"/>
      <c r="L36" s="3020"/>
      <c r="M36" s="3327"/>
      <c r="N36" s="3024"/>
      <c r="O36" s="3024"/>
      <c r="P36" s="3327"/>
      <c r="Q36" s="3043"/>
      <c r="R36" s="3004"/>
      <c r="S36" s="3005"/>
      <c r="T36" s="3004"/>
      <c r="U36" s="3005"/>
      <c r="V36" s="3020"/>
      <c r="W36" s="3020"/>
    </row>
    <row r="37" spans="1:23" ht="16" thickBot="1" x14ac:dyDescent="0.4">
      <c r="A37" s="972"/>
      <c r="B37" s="2865">
        <v>1</v>
      </c>
      <c r="C37" s="974"/>
      <c r="D37" s="972"/>
      <c r="E37" s="975"/>
      <c r="F37" s="975"/>
      <c r="G37" s="2865">
        <v>2</v>
      </c>
      <c r="H37" s="975"/>
      <c r="I37" s="975"/>
      <c r="J37" s="974"/>
      <c r="K37" s="3008">
        <v>3</v>
      </c>
      <c r="L37" s="3009"/>
      <c r="M37" s="2384"/>
      <c r="N37" s="2384"/>
      <c r="O37" s="2384"/>
      <c r="P37" s="2384"/>
      <c r="Q37" s="879"/>
      <c r="R37" s="3010">
        <v>3</v>
      </c>
      <c r="S37" s="3011"/>
      <c r="T37" s="3010">
        <v>3</v>
      </c>
      <c r="U37" s="3011"/>
      <c r="V37" s="2861">
        <v>4</v>
      </c>
      <c r="W37" s="2861">
        <v>5</v>
      </c>
    </row>
    <row r="38" spans="1:23" ht="15.65" customHeight="1" x14ac:dyDescent="0.25">
      <c r="A38" s="3025" t="s">
        <v>642</v>
      </c>
      <c r="B38" s="3026"/>
      <c r="C38" s="3027"/>
      <c r="D38" s="3031" t="s">
        <v>643</v>
      </c>
      <c r="E38" s="3032"/>
      <c r="F38" s="3032"/>
      <c r="G38" s="3032"/>
      <c r="H38" s="3032"/>
      <c r="I38" s="3032"/>
      <c r="J38" s="3033"/>
      <c r="K38" s="3317">
        <f>K40+K44+K47+K51+K57+K63+K82+K88+K100+K104</f>
        <v>85188.81</v>
      </c>
      <c r="L38" s="3318"/>
      <c r="M38" s="3321">
        <v>17235.358</v>
      </c>
      <c r="N38" s="3321"/>
      <c r="O38" s="3321"/>
      <c r="P38" s="3321">
        <f>P40+P51+P57+P63+P82+P88+P104</f>
        <v>24432.394</v>
      </c>
      <c r="Q38" s="3321">
        <v>20829</v>
      </c>
      <c r="R38" s="3322">
        <f>R40+R51+R57+R63+R82+R88+R104+R47+R44+R100</f>
        <v>73575.200000000012</v>
      </c>
      <c r="S38" s="3323"/>
      <c r="T38" s="3322">
        <f>T40+T51+T57+T63+T82+T88+T104+T47+T44+T100</f>
        <v>75638.700000000012</v>
      </c>
      <c r="U38" s="3323"/>
      <c r="V38" s="3318">
        <f>V40+V44+V47+V51+V57+V63+V82+V88+V100+V104</f>
        <v>84900.10000000002</v>
      </c>
      <c r="W38" s="3318">
        <f>W40+W44+W47+W51+W57+W63+W82+W88+W100+W104</f>
        <v>89121.2</v>
      </c>
    </row>
    <row r="39" spans="1:23" ht="13.9" customHeight="1" thickBot="1" x14ac:dyDescent="0.3">
      <c r="A39" s="3028"/>
      <c r="B39" s="3029"/>
      <c r="C39" s="3030"/>
      <c r="D39" s="3034"/>
      <c r="E39" s="3035"/>
      <c r="F39" s="3035"/>
      <c r="G39" s="3035"/>
      <c r="H39" s="3035"/>
      <c r="I39" s="3035"/>
      <c r="J39" s="3036"/>
      <c r="K39" s="3319"/>
      <c r="L39" s="3320"/>
      <c r="M39" s="3321"/>
      <c r="N39" s="3321"/>
      <c r="O39" s="3321"/>
      <c r="P39" s="3321"/>
      <c r="Q39" s="3321"/>
      <c r="R39" s="3324"/>
      <c r="S39" s="3325"/>
      <c r="T39" s="3324"/>
      <c r="U39" s="3325"/>
      <c r="V39" s="3320"/>
      <c r="W39" s="3320"/>
    </row>
    <row r="40" spans="1:23" ht="15" x14ac:dyDescent="0.3">
      <c r="A40" s="976" t="s">
        <v>644</v>
      </c>
      <c r="B40" s="977"/>
      <c r="C40" s="978"/>
      <c r="D40" s="3031" t="s">
        <v>645</v>
      </c>
      <c r="E40" s="3032"/>
      <c r="F40" s="3032"/>
      <c r="G40" s="3032"/>
      <c r="H40" s="3032"/>
      <c r="I40" s="3032"/>
      <c r="J40" s="3033"/>
      <c r="K40" s="3317">
        <f>K42</f>
        <v>40483.599999999999</v>
      </c>
      <c r="L40" s="3318"/>
      <c r="M40" s="3321">
        <v>4523.7</v>
      </c>
      <c r="N40" s="3321"/>
      <c r="O40" s="3321"/>
      <c r="P40" s="3321">
        <f>P42</f>
        <v>5592.7</v>
      </c>
      <c r="Q40" s="3329">
        <v>4938.4639999999999</v>
      </c>
      <c r="R40" s="3322">
        <f>R42</f>
        <v>25200</v>
      </c>
      <c r="S40" s="3323"/>
      <c r="T40" s="3322">
        <f>T42</f>
        <v>26208</v>
      </c>
      <c r="U40" s="3323"/>
      <c r="V40" s="3318">
        <f>V42</f>
        <v>43034.1</v>
      </c>
      <c r="W40" s="3318">
        <f>W42</f>
        <v>46046.5</v>
      </c>
    </row>
    <row r="41" spans="1:23" thickBot="1" x14ac:dyDescent="0.35">
      <c r="A41" s="979" t="s">
        <v>646</v>
      </c>
      <c r="B41" s="980"/>
      <c r="C41" s="981"/>
      <c r="D41" s="3034"/>
      <c r="E41" s="3035"/>
      <c r="F41" s="3035"/>
      <c r="G41" s="3035"/>
      <c r="H41" s="3035"/>
      <c r="I41" s="3035"/>
      <c r="J41" s="3036"/>
      <c r="K41" s="3319"/>
      <c r="L41" s="3320"/>
      <c r="M41" s="3321"/>
      <c r="N41" s="3321"/>
      <c r="O41" s="3321"/>
      <c r="P41" s="3321"/>
      <c r="Q41" s="3329"/>
      <c r="R41" s="3324"/>
      <c r="S41" s="3325"/>
      <c r="T41" s="3324"/>
      <c r="U41" s="3325"/>
      <c r="V41" s="3320"/>
      <c r="W41" s="3320"/>
    </row>
    <row r="42" spans="1:23" x14ac:dyDescent="0.35">
      <c r="A42" s="3012" t="s">
        <v>647</v>
      </c>
      <c r="B42" s="3013"/>
      <c r="C42" s="3014"/>
      <c r="D42" s="982"/>
      <c r="E42" s="983"/>
      <c r="F42" s="983"/>
      <c r="G42" s="983"/>
      <c r="H42" s="983"/>
      <c r="I42" s="983"/>
      <c r="J42" s="984"/>
      <c r="K42" s="3341">
        <v>40483.599999999999</v>
      </c>
      <c r="L42" s="3334"/>
      <c r="M42" s="3321">
        <v>4523.7</v>
      </c>
      <c r="N42" s="3321">
        <v>534.5</v>
      </c>
      <c r="O42" s="3321">
        <v>534.5</v>
      </c>
      <c r="P42" s="3321">
        <f>M42+N42+O42</f>
        <v>5592.7</v>
      </c>
      <c r="Q42" s="3329">
        <v>4938.4639999999999</v>
      </c>
      <c r="R42" s="3330">
        <v>25200</v>
      </c>
      <c r="S42" s="3331"/>
      <c r="T42" s="3330">
        <v>26208</v>
      </c>
      <c r="U42" s="3331"/>
      <c r="V42" s="3334">
        <v>43034.1</v>
      </c>
      <c r="W42" s="3334">
        <v>46046.5</v>
      </c>
    </row>
    <row r="43" spans="1:23" ht="16" thickBot="1" x14ac:dyDescent="0.4">
      <c r="A43" s="3006"/>
      <c r="B43" s="2999"/>
      <c r="C43" s="3007"/>
      <c r="D43" s="985" t="s">
        <v>648</v>
      </c>
      <c r="E43" s="986"/>
      <c r="F43" s="986"/>
      <c r="G43" s="986"/>
      <c r="H43" s="986"/>
      <c r="I43" s="986"/>
      <c r="J43" s="987"/>
      <c r="K43" s="3342"/>
      <c r="L43" s="3335"/>
      <c r="M43" s="3321"/>
      <c r="N43" s="3321"/>
      <c r="O43" s="3321"/>
      <c r="P43" s="3321"/>
      <c r="Q43" s="3329"/>
      <c r="R43" s="3332"/>
      <c r="S43" s="3333"/>
      <c r="T43" s="3332"/>
      <c r="U43" s="3333"/>
      <c r="V43" s="3335"/>
      <c r="W43" s="3335"/>
    </row>
    <row r="44" spans="1:23" ht="15.65" customHeight="1" x14ac:dyDescent="0.25">
      <c r="A44" s="3063" t="s">
        <v>649</v>
      </c>
      <c r="B44" s="3064"/>
      <c r="C44" s="3065"/>
      <c r="D44" s="3274" t="s">
        <v>650</v>
      </c>
      <c r="E44" s="3275"/>
      <c r="F44" s="3275"/>
      <c r="G44" s="3275"/>
      <c r="H44" s="3275"/>
      <c r="I44" s="3275"/>
      <c r="J44" s="3276"/>
      <c r="K44" s="3317">
        <f>K46</f>
        <v>948.3</v>
      </c>
      <c r="L44" s="3318"/>
      <c r="M44" s="3321">
        <v>9794</v>
      </c>
      <c r="N44" s="3321"/>
      <c r="O44" s="3321"/>
      <c r="P44" s="3321" t="e">
        <f>#REF!+P47+P48</f>
        <v>#REF!</v>
      </c>
      <c r="Q44" s="3329">
        <v>12087.288329999999</v>
      </c>
      <c r="R44" s="3322">
        <f>R46</f>
        <v>0</v>
      </c>
      <c r="S44" s="3323"/>
      <c r="T44" s="3322">
        <f>T46</f>
        <v>0</v>
      </c>
      <c r="U44" s="3323"/>
      <c r="V44" s="3318">
        <f>V46</f>
        <v>948.3</v>
      </c>
      <c r="W44" s="3318">
        <f>W46</f>
        <v>948.3</v>
      </c>
    </row>
    <row r="45" spans="1:23" ht="16.149999999999999" customHeight="1" thickBot="1" x14ac:dyDescent="0.3">
      <c r="A45" s="3066"/>
      <c r="B45" s="3067"/>
      <c r="C45" s="3068"/>
      <c r="D45" s="3277"/>
      <c r="E45" s="3278"/>
      <c r="F45" s="3278"/>
      <c r="G45" s="3278"/>
      <c r="H45" s="3278"/>
      <c r="I45" s="3278"/>
      <c r="J45" s="3279"/>
      <c r="K45" s="3319"/>
      <c r="L45" s="3320"/>
      <c r="M45" s="3321"/>
      <c r="N45" s="3321"/>
      <c r="O45" s="3321"/>
      <c r="P45" s="3321"/>
      <c r="Q45" s="3329"/>
      <c r="R45" s="3324"/>
      <c r="S45" s="3325"/>
      <c r="T45" s="3324"/>
      <c r="U45" s="3325"/>
      <c r="V45" s="3320"/>
      <c r="W45" s="3320"/>
    </row>
    <row r="46" spans="1:23" ht="31.15" customHeight="1" thickBot="1" x14ac:dyDescent="0.4">
      <c r="A46" s="3049" t="s">
        <v>651</v>
      </c>
      <c r="B46" s="3050"/>
      <c r="C46" s="3051"/>
      <c r="D46" s="3336" t="s">
        <v>652</v>
      </c>
      <c r="E46" s="3337"/>
      <c r="F46" s="3337"/>
      <c r="G46" s="3337"/>
      <c r="H46" s="3337"/>
      <c r="I46" s="3337"/>
      <c r="J46" s="3338"/>
      <c r="K46" s="3313">
        <v>948.3</v>
      </c>
      <c r="L46" s="3314"/>
      <c r="M46" s="2876">
        <v>124</v>
      </c>
      <c r="N46" s="2876"/>
      <c r="O46" s="2876"/>
      <c r="P46" s="2876">
        <f>M46+N46+O46</f>
        <v>124</v>
      </c>
      <c r="Q46" s="2878">
        <v>206.22337999999999</v>
      </c>
      <c r="R46" s="3339"/>
      <c r="S46" s="3340"/>
      <c r="T46" s="3339"/>
      <c r="U46" s="3340"/>
      <c r="V46" s="2874">
        <v>948.3</v>
      </c>
      <c r="W46" s="2874">
        <v>948.3</v>
      </c>
    </row>
    <row r="47" spans="1:23" ht="15.65" customHeight="1" x14ac:dyDescent="0.25">
      <c r="A47" s="3063" t="s">
        <v>653</v>
      </c>
      <c r="B47" s="3064"/>
      <c r="C47" s="3065"/>
      <c r="D47" s="3084" t="s">
        <v>654</v>
      </c>
      <c r="E47" s="3085"/>
      <c r="F47" s="3085"/>
      <c r="G47" s="3085"/>
      <c r="H47" s="3085"/>
      <c r="I47" s="3085"/>
      <c r="J47" s="3086"/>
      <c r="K47" s="3317">
        <f>K50</f>
        <v>509</v>
      </c>
      <c r="L47" s="3318"/>
      <c r="M47" s="3321">
        <v>9794</v>
      </c>
      <c r="N47" s="3321"/>
      <c r="O47" s="3321"/>
      <c r="P47" s="3321">
        <f>P50+P51+P52</f>
        <v>15318</v>
      </c>
      <c r="Q47" s="3329">
        <v>12087.288329999999</v>
      </c>
      <c r="R47" s="3322">
        <f>R50</f>
        <v>75.8</v>
      </c>
      <c r="S47" s="3323"/>
      <c r="T47" s="3322">
        <f>T50</f>
        <v>80</v>
      </c>
      <c r="U47" s="3323"/>
      <c r="V47" s="3318">
        <f>V50</f>
        <v>529</v>
      </c>
      <c r="W47" s="3318">
        <f>W50</f>
        <v>550.20000000000005</v>
      </c>
    </row>
    <row r="48" spans="1:23" ht="16.149999999999999" customHeight="1" thickBot="1" x14ac:dyDescent="0.3">
      <c r="A48" s="3066"/>
      <c r="B48" s="3067"/>
      <c r="C48" s="3068"/>
      <c r="D48" s="3087"/>
      <c r="E48" s="3088"/>
      <c r="F48" s="3088"/>
      <c r="G48" s="3088"/>
      <c r="H48" s="3088"/>
      <c r="I48" s="3088"/>
      <c r="J48" s="3089"/>
      <c r="K48" s="3319"/>
      <c r="L48" s="3320"/>
      <c r="M48" s="3321"/>
      <c r="N48" s="3321"/>
      <c r="O48" s="3321"/>
      <c r="P48" s="3321"/>
      <c r="Q48" s="3329"/>
      <c r="R48" s="3324"/>
      <c r="S48" s="3325"/>
      <c r="T48" s="3324"/>
      <c r="U48" s="3325"/>
      <c r="V48" s="3320"/>
      <c r="W48" s="3320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2451"/>
      <c r="L49" s="2875"/>
      <c r="M49" s="2453"/>
      <c r="N49" s="2453"/>
      <c r="O49" s="2453"/>
      <c r="P49" s="2453"/>
      <c r="Q49" s="2454"/>
      <c r="R49" s="2455"/>
      <c r="S49" s="2877"/>
      <c r="T49" s="2455"/>
      <c r="U49" s="2877"/>
      <c r="V49" s="2875"/>
      <c r="W49" s="2875"/>
    </row>
    <row r="50" spans="1:23" ht="16" thickBot="1" x14ac:dyDescent="0.4">
      <c r="A50" s="3008" t="s">
        <v>655</v>
      </c>
      <c r="B50" s="3080"/>
      <c r="C50" s="3009"/>
      <c r="D50" s="3081" t="s">
        <v>656</v>
      </c>
      <c r="E50" s="3082"/>
      <c r="F50" s="3082"/>
      <c r="G50" s="3082"/>
      <c r="H50" s="3082"/>
      <c r="I50" s="3082"/>
      <c r="J50" s="3083"/>
      <c r="K50" s="3313">
        <v>509</v>
      </c>
      <c r="L50" s="3314"/>
      <c r="M50" s="2876">
        <v>124</v>
      </c>
      <c r="N50" s="2876"/>
      <c r="O50" s="2876"/>
      <c r="P50" s="2876">
        <f>M50+N50+O50</f>
        <v>124</v>
      </c>
      <c r="Q50" s="2878">
        <v>206.22337999999999</v>
      </c>
      <c r="R50" s="3339">
        <v>75.8</v>
      </c>
      <c r="S50" s="3340"/>
      <c r="T50" s="3339">
        <v>80</v>
      </c>
      <c r="U50" s="3340"/>
      <c r="V50" s="2874">
        <v>529</v>
      </c>
      <c r="W50" s="2874">
        <v>550.20000000000005</v>
      </c>
    </row>
    <row r="51" spans="1:23" ht="15.65" customHeight="1" x14ac:dyDescent="0.25">
      <c r="A51" s="3063" t="s">
        <v>657</v>
      </c>
      <c r="B51" s="3064"/>
      <c r="C51" s="3065"/>
      <c r="D51" s="3084" t="s">
        <v>658</v>
      </c>
      <c r="E51" s="3085"/>
      <c r="F51" s="3085"/>
      <c r="G51" s="3085"/>
      <c r="H51" s="3085"/>
      <c r="I51" s="3085"/>
      <c r="J51" s="3086"/>
      <c r="K51" s="3317">
        <f>K54+K56+K55</f>
        <v>38393.5</v>
      </c>
      <c r="L51" s="3318"/>
      <c r="M51" s="3321">
        <v>9794</v>
      </c>
      <c r="N51" s="3321"/>
      <c r="O51" s="3321"/>
      <c r="P51" s="3321">
        <f>P54+P55+P56</f>
        <v>15194</v>
      </c>
      <c r="Q51" s="3329">
        <v>12087.288329999999</v>
      </c>
      <c r="R51" s="3322">
        <f>R54+R56+R55</f>
        <v>44797.8</v>
      </c>
      <c r="S51" s="3323"/>
      <c r="T51" s="3322">
        <f>T54+T56+T55</f>
        <v>46588.6</v>
      </c>
      <c r="U51" s="3323"/>
      <c r="V51" s="3318">
        <f>V54+V56</f>
        <v>38251.300000000003</v>
      </c>
      <c r="W51" s="3318">
        <f>W54+W56</f>
        <v>39376.800000000003</v>
      </c>
    </row>
    <row r="52" spans="1:23" ht="16.149999999999999" customHeight="1" thickBot="1" x14ac:dyDescent="0.3">
      <c r="A52" s="3066"/>
      <c r="B52" s="3067"/>
      <c r="C52" s="3068"/>
      <c r="D52" s="3087"/>
      <c r="E52" s="3088"/>
      <c r="F52" s="3088"/>
      <c r="G52" s="3088"/>
      <c r="H52" s="3088"/>
      <c r="I52" s="3088"/>
      <c r="J52" s="3089"/>
      <c r="K52" s="3319"/>
      <c r="L52" s="3320"/>
      <c r="M52" s="3321"/>
      <c r="N52" s="3321"/>
      <c r="O52" s="3321"/>
      <c r="P52" s="3321"/>
      <c r="Q52" s="3329"/>
      <c r="R52" s="3324"/>
      <c r="S52" s="3325"/>
      <c r="T52" s="3324"/>
      <c r="U52" s="3325"/>
      <c r="V52" s="3320"/>
      <c r="W52" s="3320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2451"/>
      <c r="L53" s="2875"/>
      <c r="M53" s="2453"/>
      <c r="N53" s="2453"/>
      <c r="O53" s="2453"/>
      <c r="P53" s="2453"/>
      <c r="Q53" s="2454"/>
      <c r="R53" s="2455"/>
      <c r="S53" s="2877"/>
      <c r="T53" s="2455"/>
      <c r="U53" s="2877"/>
      <c r="V53" s="2875"/>
      <c r="W53" s="2875"/>
    </row>
    <row r="54" spans="1:23" ht="16" thickBot="1" x14ac:dyDescent="0.4">
      <c r="A54" s="3008" t="s">
        <v>659</v>
      </c>
      <c r="B54" s="3080"/>
      <c r="C54" s="3009"/>
      <c r="D54" s="972" t="s">
        <v>660</v>
      </c>
      <c r="E54" s="975"/>
      <c r="F54" s="975"/>
      <c r="G54" s="975"/>
      <c r="H54" s="975"/>
      <c r="I54" s="975"/>
      <c r="J54" s="974"/>
      <c r="K54" s="3313">
        <v>5637</v>
      </c>
      <c r="L54" s="3314"/>
      <c r="M54" s="2876">
        <v>124</v>
      </c>
      <c r="N54" s="2876"/>
      <c r="O54" s="2876"/>
      <c r="P54" s="2876">
        <f>M54+N54+O54</f>
        <v>124</v>
      </c>
      <c r="Q54" s="2878">
        <v>206.22337999999999</v>
      </c>
      <c r="R54" s="3339">
        <v>3816</v>
      </c>
      <c r="S54" s="3340"/>
      <c r="T54" s="3339">
        <v>3968.6</v>
      </c>
      <c r="U54" s="3340"/>
      <c r="V54" s="2874">
        <v>5863</v>
      </c>
      <c r="W54" s="2874">
        <v>6097</v>
      </c>
    </row>
    <row r="55" spans="1:23" ht="15.65" hidden="1" customHeight="1" x14ac:dyDescent="0.35">
      <c r="A55" s="3008" t="s">
        <v>661</v>
      </c>
      <c r="B55" s="3080"/>
      <c r="C55" s="3009"/>
      <c r="D55" s="996" t="s">
        <v>662</v>
      </c>
      <c r="E55" s="997"/>
      <c r="F55" s="997"/>
      <c r="G55" s="997"/>
      <c r="H55" s="997"/>
      <c r="I55" s="997"/>
      <c r="J55" s="998"/>
      <c r="K55" s="3055"/>
      <c r="L55" s="3056"/>
      <c r="M55" s="2884">
        <v>1970</v>
      </c>
      <c r="N55" s="2884">
        <v>700</v>
      </c>
      <c r="O55" s="2884">
        <v>700</v>
      </c>
      <c r="P55" s="2884">
        <f>M55+N55+O55</f>
        <v>3370</v>
      </c>
      <c r="Q55" s="2864">
        <v>2811.7408799999998</v>
      </c>
      <c r="R55" s="3057">
        <v>9783.7999999999993</v>
      </c>
      <c r="S55" s="3058"/>
      <c r="T55" s="3057">
        <v>10175</v>
      </c>
      <c r="U55" s="3058"/>
      <c r="V55" s="2863"/>
      <c r="W55" s="2863"/>
    </row>
    <row r="56" spans="1:23" ht="16" thickBot="1" x14ac:dyDescent="0.4">
      <c r="A56" s="3008" t="s">
        <v>663</v>
      </c>
      <c r="B56" s="3080"/>
      <c r="C56" s="3009"/>
      <c r="D56" s="972" t="s">
        <v>664</v>
      </c>
      <c r="E56" s="975"/>
      <c r="F56" s="975"/>
      <c r="G56" s="975"/>
      <c r="H56" s="975"/>
      <c r="I56" s="975"/>
      <c r="J56" s="974"/>
      <c r="K56" s="3055">
        <f>31820.9+935.6</f>
        <v>32756.5</v>
      </c>
      <c r="L56" s="3056"/>
      <c r="M56" s="2884">
        <v>7700</v>
      </c>
      <c r="N56" s="2884">
        <v>2000</v>
      </c>
      <c r="O56" s="2884">
        <v>2000</v>
      </c>
      <c r="P56" s="2884">
        <f>M56+N56+O56</f>
        <v>11700</v>
      </c>
      <c r="Q56" s="2864">
        <v>9069.3240700000006</v>
      </c>
      <c r="R56" s="3057">
        <v>31198</v>
      </c>
      <c r="S56" s="3058"/>
      <c r="T56" s="3057">
        <v>32445</v>
      </c>
      <c r="U56" s="3058"/>
      <c r="V56" s="2863">
        <v>32388.3</v>
      </c>
      <c r="W56" s="2863">
        <v>33279.800000000003</v>
      </c>
    </row>
    <row r="57" spans="1:23" ht="15.65" customHeight="1" x14ac:dyDescent="0.25">
      <c r="A57" s="3063" t="s">
        <v>665</v>
      </c>
      <c r="B57" s="3064"/>
      <c r="C57" s="3065"/>
      <c r="D57" s="3084" t="s">
        <v>666</v>
      </c>
      <c r="E57" s="3085"/>
      <c r="F57" s="3085"/>
      <c r="G57" s="3085"/>
      <c r="H57" s="3085"/>
      <c r="I57" s="3085"/>
      <c r="J57" s="3086"/>
      <c r="K57" s="3317">
        <f>K59</f>
        <v>5</v>
      </c>
      <c r="L57" s="3318"/>
      <c r="M57" s="3321">
        <v>17</v>
      </c>
      <c r="N57" s="3321"/>
      <c r="O57" s="3321"/>
      <c r="P57" s="3321">
        <f>M57+N57+O57</f>
        <v>17</v>
      </c>
      <c r="Q57" s="3321">
        <v>3.9649999999999999</v>
      </c>
      <c r="R57" s="3322">
        <f>R59</f>
        <v>8</v>
      </c>
      <c r="S57" s="3323"/>
      <c r="T57" s="3322">
        <f>T59</f>
        <v>10</v>
      </c>
      <c r="U57" s="3323"/>
      <c r="V57" s="3318">
        <f>V59</f>
        <v>7</v>
      </c>
      <c r="W57" s="3318">
        <f>W59</f>
        <v>10</v>
      </c>
    </row>
    <row r="58" spans="1:23" ht="13.9" customHeight="1" thickBot="1" x14ac:dyDescent="0.3">
      <c r="A58" s="3066"/>
      <c r="B58" s="3067"/>
      <c r="C58" s="3068"/>
      <c r="D58" s="3087"/>
      <c r="E58" s="3088"/>
      <c r="F58" s="3088"/>
      <c r="G58" s="3088"/>
      <c r="H58" s="3088"/>
      <c r="I58" s="3088"/>
      <c r="J58" s="3089"/>
      <c r="K58" s="3319"/>
      <c r="L58" s="3320"/>
      <c r="M58" s="3321"/>
      <c r="N58" s="3321"/>
      <c r="O58" s="3321"/>
      <c r="P58" s="3321"/>
      <c r="Q58" s="3321"/>
      <c r="R58" s="3324"/>
      <c r="S58" s="3325"/>
      <c r="T58" s="3324"/>
      <c r="U58" s="3325"/>
      <c r="V58" s="3320"/>
      <c r="W58" s="3320"/>
    </row>
    <row r="59" spans="1:23" x14ac:dyDescent="0.35">
      <c r="A59" s="3015" t="s">
        <v>667</v>
      </c>
      <c r="B59" s="3016"/>
      <c r="C59" s="3017"/>
      <c r="D59" s="982" t="s">
        <v>668</v>
      </c>
      <c r="E59" s="983"/>
      <c r="F59" s="983"/>
      <c r="G59" s="983"/>
      <c r="H59" s="983"/>
      <c r="I59" s="983"/>
      <c r="J59" s="983"/>
      <c r="K59" s="3341">
        <v>5</v>
      </c>
      <c r="L59" s="3334"/>
      <c r="M59" s="3321">
        <v>17</v>
      </c>
      <c r="N59" s="3321"/>
      <c r="O59" s="3321"/>
      <c r="P59" s="3321">
        <f>M59+N59+O59</f>
        <v>17</v>
      </c>
      <c r="Q59" s="3321">
        <v>3.9649999999999999</v>
      </c>
      <c r="R59" s="3330">
        <v>8</v>
      </c>
      <c r="S59" s="3331"/>
      <c r="T59" s="3330">
        <v>10</v>
      </c>
      <c r="U59" s="3331"/>
      <c r="V59" s="3334">
        <v>7</v>
      </c>
      <c r="W59" s="3334">
        <v>10</v>
      </c>
    </row>
    <row r="60" spans="1:23" x14ac:dyDescent="0.35">
      <c r="A60" s="3094"/>
      <c r="B60" s="3095"/>
      <c r="C60" s="3096"/>
      <c r="D60" s="996" t="s">
        <v>669</v>
      </c>
      <c r="E60" s="997"/>
      <c r="F60" s="997"/>
      <c r="G60" s="997"/>
      <c r="H60" s="997"/>
      <c r="I60" s="997"/>
      <c r="J60" s="997"/>
      <c r="K60" s="3349"/>
      <c r="L60" s="3350"/>
      <c r="M60" s="3321"/>
      <c r="N60" s="3321"/>
      <c r="O60" s="3321"/>
      <c r="P60" s="3321"/>
      <c r="Q60" s="3321"/>
      <c r="R60" s="3353"/>
      <c r="S60" s="3354"/>
      <c r="T60" s="3353"/>
      <c r="U60" s="3354"/>
      <c r="V60" s="3350"/>
      <c r="W60" s="3350"/>
    </row>
    <row r="61" spans="1:23" x14ac:dyDescent="0.35">
      <c r="A61" s="3094"/>
      <c r="B61" s="3095"/>
      <c r="C61" s="3096"/>
      <c r="D61" s="996" t="s">
        <v>670</v>
      </c>
      <c r="E61" s="997"/>
      <c r="F61" s="997"/>
      <c r="G61" s="997"/>
      <c r="H61" s="997"/>
      <c r="I61" s="997"/>
      <c r="J61" s="997"/>
      <c r="K61" s="3349"/>
      <c r="L61" s="3350"/>
      <c r="M61" s="3321"/>
      <c r="N61" s="3321"/>
      <c r="O61" s="3321"/>
      <c r="P61" s="3321"/>
      <c r="Q61" s="3321"/>
      <c r="R61" s="3353"/>
      <c r="S61" s="3354"/>
      <c r="T61" s="3353"/>
      <c r="U61" s="3354"/>
      <c r="V61" s="3350"/>
      <c r="W61" s="3350"/>
    </row>
    <row r="62" spans="1:23" ht="16" thickBot="1" x14ac:dyDescent="0.4">
      <c r="A62" s="3018"/>
      <c r="B62" s="3019"/>
      <c r="C62" s="3020"/>
      <c r="D62" s="985" t="s">
        <v>671</v>
      </c>
      <c r="E62" s="986"/>
      <c r="F62" s="986"/>
      <c r="G62" s="986"/>
      <c r="H62" s="986"/>
      <c r="I62" s="986"/>
      <c r="J62" s="986"/>
      <c r="K62" s="3342"/>
      <c r="L62" s="3335"/>
      <c r="M62" s="3321"/>
      <c r="N62" s="3321"/>
      <c r="O62" s="3321"/>
      <c r="P62" s="3321"/>
      <c r="Q62" s="3321"/>
      <c r="R62" s="3332"/>
      <c r="S62" s="3333"/>
      <c r="T62" s="3332"/>
      <c r="U62" s="3333"/>
      <c r="V62" s="3335"/>
      <c r="W62" s="3335"/>
    </row>
    <row r="63" spans="1:23" ht="15" x14ac:dyDescent="0.3">
      <c r="A63" s="3063" t="s">
        <v>672</v>
      </c>
      <c r="B63" s="3064"/>
      <c r="C63" s="3065"/>
      <c r="D63" s="976" t="s">
        <v>673</v>
      </c>
      <c r="E63" s="977"/>
      <c r="F63" s="977"/>
      <c r="G63" s="977"/>
      <c r="H63" s="977"/>
      <c r="I63" s="977"/>
      <c r="J63" s="978"/>
      <c r="K63" s="3479">
        <f>K66+K70+K78+K74</f>
        <v>1907.3000000000002</v>
      </c>
      <c r="L63" s="3476"/>
      <c r="M63" s="3321">
        <v>2183.6579999999999</v>
      </c>
      <c r="N63" s="3321"/>
      <c r="O63" s="3321"/>
      <c r="P63" s="3321">
        <f>P66+P70+P78</f>
        <v>2913.6940000000004</v>
      </c>
      <c r="Q63" s="3321">
        <v>2859.2967100000001</v>
      </c>
      <c r="R63" s="3322">
        <f>R66+R70+R78+R74</f>
        <v>1933</v>
      </c>
      <c r="S63" s="3323"/>
      <c r="T63" s="3322">
        <f>T66+T70+T78+T74</f>
        <v>1975</v>
      </c>
      <c r="U63" s="3323"/>
      <c r="V63" s="3476">
        <f>V74+V78</f>
        <v>1986.8000000000002</v>
      </c>
      <c r="W63" s="3476">
        <f>W74+W78</f>
        <v>2037.5</v>
      </c>
    </row>
    <row r="64" spans="1:23" ht="15" x14ac:dyDescent="0.3">
      <c r="A64" s="3101"/>
      <c r="B64" s="3102"/>
      <c r="C64" s="3103"/>
      <c r="D64" s="999" t="s">
        <v>674</v>
      </c>
      <c r="E64" s="1000"/>
      <c r="F64" s="1000"/>
      <c r="G64" s="1000"/>
      <c r="H64" s="1000"/>
      <c r="I64" s="1000"/>
      <c r="J64" s="1001"/>
      <c r="K64" s="3480"/>
      <c r="L64" s="3477"/>
      <c r="M64" s="3321"/>
      <c r="N64" s="3321"/>
      <c r="O64" s="3321"/>
      <c r="P64" s="3321"/>
      <c r="Q64" s="3321"/>
      <c r="R64" s="3351"/>
      <c r="S64" s="3352"/>
      <c r="T64" s="3351"/>
      <c r="U64" s="3352"/>
      <c r="V64" s="3477"/>
      <c r="W64" s="3477"/>
    </row>
    <row r="65" spans="1:23" thickBot="1" x14ac:dyDescent="0.35">
      <c r="A65" s="3066"/>
      <c r="B65" s="3067"/>
      <c r="C65" s="3068"/>
      <c r="D65" s="979" t="s">
        <v>675</v>
      </c>
      <c r="E65" s="980"/>
      <c r="F65" s="980"/>
      <c r="G65" s="980"/>
      <c r="H65" s="980"/>
      <c r="I65" s="980"/>
      <c r="J65" s="981"/>
      <c r="K65" s="3481"/>
      <c r="L65" s="3478"/>
      <c r="M65" s="3321"/>
      <c r="N65" s="3321"/>
      <c r="O65" s="3321"/>
      <c r="P65" s="3321"/>
      <c r="Q65" s="3321"/>
      <c r="R65" s="3324"/>
      <c r="S65" s="3325"/>
      <c r="T65" s="3324"/>
      <c r="U65" s="3325"/>
      <c r="V65" s="3478"/>
      <c r="W65" s="3478"/>
    </row>
    <row r="66" spans="1:23" ht="15.65" hidden="1" customHeight="1" x14ac:dyDescent="0.35">
      <c r="A66" s="3015" t="s">
        <v>676</v>
      </c>
      <c r="B66" s="3016"/>
      <c r="C66" s="3017"/>
      <c r="D66" s="982" t="s">
        <v>677</v>
      </c>
      <c r="E66" s="983"/>
      <c r="F66" s="983"/>
      <c r="G66" s="983"/>
      <c r="H66" s="983"/>
      <c r="I66" s="983"/>
      <c r="J66" s="984"/>
      <c r="K66" s="3355"/>
      <c r="L66" s="3356"/>
      <c r="M66" s="3321">
        <v>1030</v>
      </c>
      <c r="N66" s="3321">
        <v>140</v>
      </c>
      <c r="O66" s="3321">
        <v>140</v>
      </c>
      <c r="P66" s="3321">
        <f>M66+N66+O66</f>
        <v>1310</v>
      </c>
      <c r="Q66" s="3321">
        <v>1430.7293099999999</v>
      </c>
      <c r="R66" s="3361"/>
      <c r="S66" s="3362"/>
      <c r="T66" s="3361"/>
      <c r="U66" s="3362"/>
      <c r="V66" s="3356"/>
      <c r="W66" s="3356"/>
    </row>
    <row r="67" spans="1:23" ht="15.65" hidden="1" customHeight="1" x14ac:dyDescent="0.35">
      <c r="A67" s="3094"/>
      <c r="B67" s="3095"/>
      <c r="C67" s="3096"/>
      <c r="D67" s="996" t="s">
        <v>678</v>
      </c>
      <c r="E67" s="997"/>
      <c r="F67" s="997"/>
      <c r="G67" s="997"/>
      <c r="H67" s="997"/>
      <c r="I67" s="997"/>
      <c r="J67" s="998"/>
      <c r="K67" s="3357"/>
      <c r="L67" s="3358"/>
      <c r="M67" s="3321"/>
      <c r="N67" s="3321"/>
      <c r="O67" s="3321"/>
      <c r="P67" s="3321"/>
      <c r="Q67" s="3321"/>
      <c r="R67" s="3363"/>
      <c r="S67" s="3364"/>
      <c r="T67" s="3363"/>
      <c r="U67" s="3364"/>
      <c r="V67" s="3358"/>
      <c r="W67" s="3358"/>
    </row>
    <row r="68" spans="1:23" ht="15.65" hidden="1" customHeight="1" x14ac:dyDescent="0.35">
      <c r="A68" s="3094"/>
      <c r="B68" s="3095"/>
      <c r="C68" s="3096"/>
      <c r="D68" s="996" t="s">
        <v>679</v>
      </c>
      <c r="E68" s="997"/>
      <c r="F68" s="997"/>
      <c r="G68" s="997"/>
      <c r="H68" s="997"/>
      <c r="I68" s="997"/>
      <c r="J68" s="998"/>
      <c r="K68" s="3357"/>
      <c r="L68" s="3358"/>
      <c r="M68" s="3321"/>
      <c r="N68" s="3321"/>
      <c r="O68" s="3321"/>
      <c r="P68" s="3321"/>
      <c r="Q68" s="3321"/>
      <c r="R68" s="3363"/>
      <c r="S68" s="3364"/>
      <c r="T68" s="3363"/>
      <c r="U68" s="3364"/>
      <c r="V68" s="3358"/>
      <c r="W68" s="3358"/>
    </row>
    <row r="69" spans="1:23" ht="15.65" hidden="1" customHeight="1" thickBot="1" x14ac:dyDescent="0.4">
      <c r="A69" s="3018"/>
      <c r="B69" s="3019"/>
      <c r="C69" s="3020"/>
      <c r="D69" s="985" t="s">
        <v>680</v>
      </c>
      <c r="E69" s="986"/>
      <c r="F69" s="986"/>
      <c r="G69" s="986"/>
      <c r="H69" s="986"/>
      <c r="I69" s="986"/>
      <c r="J69" s="987"/>
      <c r="K69" s="3359"/>
      <c r="L69" s="3360"/>
      <c r="M69" s="3321"/>
      <c r="N69" s="3321"/>
      <c r="O69" s="3321"/>
      <c r="P69" s="3321"/>
      <c r="Q69" s="3321"/>
      <c r="R69" s="3365"/>
      <c r="S69" s="3366"/>
      <c r="T69" s="3365"/>
      <c r="U69" s="3366"/>
      <c r="V69" s="3360"/>
      <c r="W69" s="3360"/>
    </row>
    <row r="70" spans="1:23" ht="15.65" customHeight="1" x14ac:dyDescent="0.25">
      <c r="A70" s="3015" t="s">
        <v>1243</v>
      </c>
      <c r="B70" s="3016"/>
      <c r="C70" s="3017"/>
      <c r="D70" s="3467" t="s">
        <v>1244</v>
      </c>
      <c r="E70" s="3468"/>
      <c r="F70" s="3468"/>
      <c r="G70" s="3468"/>
      <c r="H70" s="3468"/>
      <c r="I70" s="3468"/>
      <c r="J70" s="3469"/>
      <c r="K70" s="3355"/>
      <c r="L70" s="3356"/>
      <c r="M70" s="3321">
        <v>928.55</v>
      </c>
      <c r="N70" s="3321">
        <v>200</v>
      </c>
      <c r="O70" s="3321">
        <v>200</v>
      </c>
      <c r="P70" s="3321">
        <f>M70+N70+O70</f>
        <v>1328.55</v>
      </c>
      <c r="Q70" s="3321">
        <v>1007.7294000000001</v>
      </c>
      <c r="R70" s="3361"/>
      <c r="S70" s="3362"/>
      <c r="T70" s="3361"/>
      <c r="U70" s="3362"/>
      <c r="V70" s="3356"/>
      <c r="W70" s="3356"/>
    </row>
    <row r="71" spans="1:23" ht="14.25" customHeight="1" x14ac:dyDescent="0.25">
      <c r="A71" s="3094"/>
      <c r="B71" s="3095"/>
      <c r="C71" s="3096"/>
      <c r="D71" s="3470"/>
      <c r="E71" s="3471"/>
      <c r="F71" s="3471"/>
      <c r="G71" s="3471"/>
      <c r="H71" s="3471"/>
      <c r="I71" s="3471"/>
      <c r="J71" s="3472"/>
      <c r="K71" s="3357"/>
      <c r="L71" s="3358"/>
      <c r="M71" s="3321"/>
      <c r="N71" s="3321"/>
      <c r="O71" s="3321"/>
      <c r="P71" s="3321"/>
      <c r="Q71" s="3321"/>
      <c r="R71" s="3363"/>
      <c r="S71" s="3364"/>
      <c r="T71" s="3363"/>
      <c r="U71" s="3364"/>
      <c r="V71" s="3358"/>
      <c r="W71" s="3358"/>
    </row>
    <row r="72" spans="1:23" ht="15.75" customHeight="1" x14ac:dyDescent="0.25">
      <c r="A72" s="3094"/>
      <c r="B72" s="3095"/>
      <c r="C72" s="3096"/>
      <c r="D72" s="3470"/>
      <c r="E72" s="3471"/>
      <c r="F72" s="3471"/>
      <c r="G72" s="3471"/>
      <c r="H72" s="3471"/>
      <c r="I72" s="3471"/>
      <c r="J72" s="3472"/>
      <c r="K72" s="3357"/>
      <c r="L72" s="3358"/>
      <c r="M72" s="3321"/>
      <c r="N72" s="3321"/>
      <c r="O72" s="3321"/>
      <c r="P72" s="3321"/>
      <c r="Q72" s="3321"/>
      <c r="R72" s="3363"/>
      <c r="S72" s="3364"/>
      <c r="T72" s="3363"/>
      <c r="U72" s="3364"/>
      <c r="V72" s="3358"/>
      <c r="W72" s="3358"/>
    </row>
    <row r="73" spans="1:23" ht="2.15" customHeight="1" thickBot="1" x14ac:dyDescent="0.3">
      <c r="A73" s="3018"/>
      <c r="B73" s="3019"/>
      <c r="C73" s="3020"/>
      <c r="D73" s="3473"/>
      <c r="E73" s="3474"/>
      <c r="F73" s="3474"/>
      <c r="G73" s="3474"/>
      <c r="H73" s="3474"/>
      <c r="I73" s="3474"/>
      <c r="J73" s="3475"/>
      <c r="K73" s="3359"/>
      <c r="L73" s="3360"/>
      <c r="M73" s="3321"/>
      <c r="N73" s="3321"/>
      <c r="O73" s="3321"/>
      <c r="P73" s="3321"/>
      <c r="Q73" s="3321"/>
      <c r="R73" s="3365"/>
      <c r="S73" s="3366"/>
      <c r="T73" s="3365"/>
      <c r="U73" s="3366"/>
      <c r="V73" s="3360"/>
      <c r="W73" s="3360"/>
    </row>
    <row r="74" spans="1:23" x14ac:dyDescent="0.35">
      <c r="A74" s="3015" t="s">
        <v>686</v>
      </c>
      <c r="B74" s="3016"/>
      <c r="C74" s="3017"/>
      <c r="D74" s="1002"/>
      <c r="E74" s="997"/>
      <c r="F74" s="997"/>
      <c r="G74" s="997"/>
      <c r="H74" s="997"/>
      <c r="I74" s="997"/>
      <c r="J74" s="998"/>
      <c r="K74" s="3341">
        <v>720.4</v>
      </c>
      <c r="L74" s="3334"/>
      <c r="M74" s="3375">
        <v>928.55</v>
      </c>
      <c r="N74" s="3375">
        <v>200</v>
      </c>
      <c r="O74" s="3375">
        <v>200</v>
      </c>
      <c r="P74" s="3375">
        <f>M74+N74+O74</f>
        <v>1328.55</v>
      </c>
      <c r="Q74" s="3375">
        <v>1007.7294000000001</v>
      </c>
      <c r="R74" s="3361">
        <v>1035</v>
      </c>
      <c r="S74" s="3362"/>
      <c r="T74" s="3361">
        <v>1040</v>
      </c>
      <c r="U74" s="3362"/>
      <c r="V74" s="3334">
        <v>720.4</v>
      </c>
      <c r="W74" s="3334">
        <v>720.4</v>
      </c>
    </row>
    <row r="75" spans="1:23" ht="14.25" customHeight="1" x14ac:dyDescent="0.35">
      <c r="A75" s="3094"/>
      <c r="B75" s="3095"/>
      <c r="C75" s="3096"/>
      <c r="D75" s="997" t="s">
        <v>687</v>
      </c>
      <c r="E75" s="997"/>
      <c r="F75" s="997"/>
      <c r="G75" s="997"/>
      <c r="H75" s="997"/>
      <c r="I75" s="997"/>
      <c r="J75" s="998"/>
      <c r="K75" s="3349"/>
      <c r="L75" s="3350"/>
      <c r="M75" s="3375"/>
      <c r="N75" s="3375"/>
      <c r="O75" s="3375"/>
      <c r="P75" s="3375"/>
      <c r="Q75" s="3375"/>
      <c r="R75" s="3363"/>
      <c r="S75" s="3364"/>
      <c r="T75" s="3363"/>
      <c r="U75" s="3364"/>
      <c r="V75" s="3350"/>
      <c r="W75" s="3350"/>
    </row>
    <row r="76" spans="1:23" ht="15.75" customHeight="1" x14ac:dyDescent="0.35">
      <c r="A76" s="3094"/>
      <c r="B76" s="3095"/>
      <c r="C76" s="3096"/>
      <c r="D76" s="997" t="s">
        <v>688</v>
      </c>
      <c r="E76" s="997"/>
      <c r="F76" s="997"/>
      <c r="G76" s="997"/>
      <c r="H76" s="997"/>
      <c r="I76" s="997"/>
      <c r="J76" s="998"/>
      <c r="K76" s="3349"/>
      <c r="L76" s="3350"/>
      <c r="M76" s="3375"/>
      <c r="N76" s="3375"/>
      <c r="O76" s="3375"/>
      <c r="P76" s="3375"/>
      <c r="Q76" s="3375"/>
      <c r="R76" s="3363"/>
      <c r="S76" s="3364"/>
      <c r="T76" s="3363"/>
      <c r="U76" s="3364"/>
      <c r="V76" s="3350"/>
      <c r="W76" s="3350"/>
    </row>
    <row r="77" spans="1:23" ht="15.75" customHeight="1" thickBot="1" x14ac:dyDescent="0.4">
      <c r="A77" s="3018"/>
      <c r="B77" s="3019"/>
      <c r="C77" s="3020"/>
      <c r="D77" s="986"/>
      <c r="E77" s="986"/>
      <c r="F77" s="986"/>
      <c r="G77" s="986"/>
      <c r="H77" s="986"/>
      <c r="I77" s="986"/>
      <c r="J77" s="987"/>
      <c r="K77" s="3342"/>
      <c r="L77" s="3335"/>
      <c r="M77" s="3375"/>
      <c r="N77" s="3375"/>
      <c r="O77" s="3375"/>
      <c r="P77" s="3375"/>
      <c r="Q77" s="3375"/>
      <c r="R77" s="3365"/>
      <c r="S77" s="3366"/>
      <c r="T77" s="3365"/>
      <c r="U77" s="3366"/>
      <c r="V77" s="3335"/>
      <c r="W77" s="3335"/>
    </row>
    <row r="78" spans="1:23" ht="15" customHeight="1" x14ac:dyDescent="0.35">
      <c r="A78" s="3015" t="s">
        <v>689</v>
      </c>
      <c r="B78" s="3016"/>
      <c r="C78" s="3017"/>
      <c r="D78" s="982" t="s">
        <v>690</v>
      </c>
      <c r="E78" s="983"/>
      <c r="F78" s="983"/>
      <c r="G78" s="983"/>
      <c r="H78" s="983"/>
      <c r="I78" s="983"/>
      <c r="J78" s="984"/>
      <c r="K78" s="3309">
        <v>1186.9000000000001</v>
      </c>
      <c r="L78" s="3310"/>
      <c r="M78" s="3369">
        <v>225.108</v>
      </c>
      <c r="N78" s="3372">
        <f>24.9+0.118</f>
        <v>25.017999999999997</v>
      </c>
      <c r="O78" s="3372">
        <v>25.018000000000001</v>
      </c>
      <c r="P78" s="3376">
        <f>M78+N78+O78</f>
        <v>275.14400000000001</v>
      </c>
      <c r="Q78" s="3372">
        <v>420.83800000000002</v>
      </c>
      <c r="R78" s="3379">
        <v>898</v>
      </c>
      <c r="S78" s="3380"/>
      <c r="T78" s="3379">
        <v>935</v>
      </c>
      <c r="U78" s="3380"/>
      <c r="V78" s="3310">
        <v>1266.4000000000001</v>
      </c>
      <c r="W78" s="3310">
        <v>1317.1</v>
      </c>
    </row>
    <row r="79" spans="1:23" ht="13.15" customHeight="1" x14ac:dyDescent="0.35">
      <c r="A79" s="3094"/>
      <c r="B79" s="3095"/>
      <c r="C79" s="3096"/>
      <c r="D79" s="996" t="s">
        <v>691</v>
      </c>
      <c r="E79" s="997"/>
      <c r="F79" s="997"/>
      <c r="G79" s="997"/>
      <c r="H79" s="997"/>
      <c r="I79" s="997"/>
      <c r="J79" s="998"/>
      <c r="K79" s="3367"/>
      <c r="L79" s="3368"/>
      <c r="M79" s="3370"/>
      <c r="N79" s="3373"/>
      <c r="O79" s="3373"/>
      <c r="P79" s="3377"/>
      <c r="Q79" s="3373"/>
      <c r="R79" s="3381"/>
      <c r="S79" s="3382"/>
      <c r="T79" s="3381"/>
      <c r="U79" s="3382"/>
      <c r="V79" s="3368"/>
      <c r="W79" s="3368"/>
    </row>
    <row r="80" spans="1:23" ht="13.15" customHeight="1" x14ac:dyDescent="0.35">
      <c r="A80" s="3094"/>
      <c r="B80" s="3095"/>
      <c r="C80" s="3096"/>
      <c r="D80" s="996" t="s">
        <v>692</v>
      </c>
      <c r="E80" s="997"/>
      <c r="F80" s="997"/>
      <c r="G80" s="997"/>
      <c r="H80" s="997"/>
      <c r="I80" s="997"/>
      <c r="J80" s="998"/>
      <c r="K80" s="3367"/>
      <c r="L80" s="3368"/>
      <c r="M80" s="3370"/>
      <c r="N80" s="3373"/>
      <c r="O80" s="3373"/>
      <c r="P80" s="3377"/>
      <c r="Q80" s="3373"/>
      <c r="R80" s="3381"/>
      <c r="S80" s="3382"/>
      <c r="T80" s="3381"/>
      <c r="U80" s="3382"/>
      <c r="V80" s="3368"/>
      <c r="W80" s="3368"/>
    </row>
    <row r="81" spans="1:23" ht="12.75" customHeight="1" thickBot="1" x14ac:dyDescent="0.4">
      <c r="A81" s="3018"/>
      <c r="B81" s="3019"/>
      <c r="C81" s="3020"/>
      <c r="D81" s="985" t="s">
        <v>693</v>
      </c>
      <c r="E81" s="986"/>
      <c r="F81" s="986"/>
      <c r="G81" s="986"/>
      <c r="H81" s="986"/>
      <c r="I81" s="986"/>
      <c r="J81" s="987"/>
      <c r="K81" s="3311"/>
      <c r="L81" s="3312"/>
      <c r="M81" s="3371"/>
      <c r="N81" s="3374"/>
      <c r="O81" s="3374"/>
      <c r="P81" s="3378"/>
      <c r="Q81" s="3374"/>
      <c r="R81" s="3383"/>
      <c r="S81" s="3384"/>
      <c r="T81" s="3383"/>
      <c r="U81" s="3384"/>
      <c r="V81" s="3312"/>
      <c r="W81" s="3312"/>
    </row>
    <row r="82" spans="1:23" ht="15" x14ac:dyDescent="0.3">
      <c r="A82" s="3063" t="s">
        <v>694</v>
      </c>
      <c r="B82" s="3064"/>
      <c r="C82" s="3065"/>
      <c r="D82" s="976" t="s">
        <v>887</v>
      </c>
      <c r="E82" s="977"/>
      <c r="F82" s="977"/>
      <c r="G82" s="977"/>
      <c r="H82" s="977"/>
      <c r="I82" s="977"/>
      <c r="J82" s="978"/>
      <c r="K82" s="3391">
        <f>K84+K87</f>
        <v>2922.11</v>
      </c>
      <c r="L82" s="3392"/>
      <c r="M82" s="3390">
        <v>97</v>
      </c>
      <c r="N82" s="3390"/>
      <c r="O82" s="3390"/>
      <c r="P82" s="3390">
        <f>P84+P87</f>
        <v>125</v>
      </c>
      <c r="Q82" s="3390">
        <v>435.29176000000001</v>
      </c>
      <c r="R82" s="3193">
        <f>R84+R87</f>
        <v>10.6</v>
      </c>
      <c r="S82" s="3194"/>
      <c r="T82" s="3193">
        <f>T84+T87</f>
        <v>11.1</v>
      </c>
      <c r="U82" s="3194"/>
      <c r="V82" s="3392">
        <f>V87</f>
        <v>121.6</v>
      </c>
      <c r="W82" s="3392">
        <f>W87</f>
        <v>128.9</v>
      </c>
    </row>
    <row r="83" spans="1:23" thickBot="1" x14ac:dyDescent="0.35">
      <c r="A83" s="3066"/>
      <c r="B83" s="3067"/>
      <c r="C83" s="3068"/>
      <c r="D83" s="979" t="s">
        <v>695</v>
      </c>
      <c r="E83" s="980"/>
      <c r="F83" s="980"/>
      <c r="G83" s="980"/>
      <c r="H83" s="980"/>
      <c r="I83" s="980"/>
      <c r="J83" s="981"/>
      <c r="K83" s="3393"/>
      <c r="L83" s="3394"/>
      <c r="M83" s="3390"/>
      <c r="N83" s="3390"/>
      <c r="O83" s="3390"/>
      <c r="P83" s="3390"/>
      <c r="Q83" s="3390"/>
      <c r="R83" s="3197"/>
      <c r="S83" s="3198"/>
      <c r="T83" s="3197"/>
      <c r="U83" s="3198"/>
      <c r="V83" s="3394"/>
      <c r="W83" s="3394"/>
    </row>
    <row r="84" spans="1:23" ht="15" hidden="1" customHeight="1" x14ac:dyDescent="0.35">
      <c r="A84" s="3015" t="s">
        <v>696</v>
      </c>
      <c r="B84" s="3016"/>
      <c r="C84" s="3017"/>
      <c r="D84" s="982" t="s">
        <v>697</v>
      </c>
      <c r="E84" s="983"/>
      <c r="F84" s="983"/>
      <c r="G84" s="983"/>
      <c r="H84" s="983"/>
      <c r="I84" s="983"/>
      <c r="J84" s="984"/>
      <c r="K84" s="3309"/>
      <c r="L84" s="3385"/>
      <c r="M84" s="3390">
        <v>69</v>
      </c>
      <c r="N84" s="3390">
        <v>7</v>
      </c>
      <c r="O84" s="3390">
        <v>7</v>
      </c>
      <c r="P84" s="3390">
        <f>M84+N84+O84</f>
        <v>83</v>
      </c>
      <c r="Q84" s="3390">
        <v>0.5</v>
      </c>
      <c r="R84" s="3395"/>
      <c r="S84" s="3396"/>
      <c r="T84" s="3395"/>
      <c r="U84" s="3396"/>
      <c r="V84" s="3385"/>
      <c r="W84" s="3385"/>
    </row>
    <row r="85" spans="1:23" ht="15" hidden="1" customHeight="1" x14ac:dyDescent="0.35">
      <c r="A85" s="3094"/>
      <c r="B85" s="3095"/>
      <c r="C85" s="3096"/>
      <c r="D85" s="996" t="s">
        <v>698</v>
      </c>
      <c r="E85" s="997"/>
      <c r="F85" s="997"/>
      <c r="G85" s="997"/>
      <c r="H85" s="997"/>
      <c r="I85" s="997"/>
      <c r="J85" s="998"/>
      <c r="K85" s="3386"/>
      <c r="L85" s="3387"/>
      <c r="M85" s="3390"/>
      <c r="N85" s="3390"/>
      <c r="O85" s="3390"/>
      <c r="P85" s="3390"/>
      <c r="Q85" s="3390"/>
      <c r="R85" s="3397"/>
      <c r="S85" s="3398"/>
      <c r="T85" s="3397"/>
      <c r="U85" s="3398"/>
      <c r="V85" s="3387"/>
      <c r="W85" s="3387"/>
    </row>
    <row r="86" spans="1:23" ht="7.15" hidden="1" customHeight="1" x14ac:dyDescent="0.35">
      <c r="A86" s="3142"/>
      <c r="B86" s="3143"/>
      <c r="C86" s="3144"/>
      <c r="D86" s="1003"/>
      <c r="E86" s="1004"/>
      <c r="F86" s="1004"/>
      <c r="G86" s="1004"/>
      <c r="H86" s="1004"/>
      <c r="I86" s="1004"/>
      <c r="J86" s="1005"/>
      <c r="K86" s="3388"/>
      <c r="L86" s="3389"/>
      <c r="M86" s="3390"/>
      <c r="N86" s="3390"/>
      <c r="O86" s="3390"/>
      <c r="P86" s="3390"/>
      <c r="Q86" s="3390"/>
      <c r="R86" s="3399"/>
      <c r="S86" s="3400"/>
      <c r="T86" s="3399"/>
      <c r="U86" s="3400"/>
      <c r="V86" s="3389"/>
      <c r="W86" s="3389"/>
    </row>
    <row r="87" spans="1:23" ht="16" thickBot="1" x14ac:dyDescent="0.4">
      <c r="A87" s="3162" t="s">
        <v>699</v>
      </c>
      <c r="B87" s="3163"/>
      <c r="C87" s="3164"/>
      <c r="D87" s="996" t="s">
        <v>700</v>
      </c>
      <c r="E87" s="997"/>
      <c r="F87" s="997"/>
      <c r="G87" s="997"/>
      <c r="H87" s="997"/>
      <c r="I87" s="997"/>
      <c r="J87" s="998"/>
      <c r="K87" s="3401">
        <f>114+2808.11</f>
        <v>2922.11</v>
      </c>
      <c r="L87" s="3402"/>
      <c r="M87" s="2879">
        <v>28</v>
      </c>
      <c r="N87" s="2879">
        <v>7</v>
      </c>
      <c r="O87" s="2879">
        <v>7</v>
      </c>
      <c r="P87" s="2879">
        <f>M87+N87+O87</f>
        <v>42</v>
      </c>
      <c r="Q87" s="2879">
        <v>434.79176000000001</v>
      </c>
      <c r="R87" s="3403">
        <v>10.6</v>
      </c>
      <c r="S87" s="3404"/>
      <c r="T87" s="3403">
        <v>11.1</v>
      </c>
      <c r="U87" s="3404"/>
      <c r="V87" s="2458">
        <v>121.6</v>
      </c>
      <c r="W87" s="2458">
        <v>128.9</v>
      </c>
    </row>
    <row r="88" spans="1:23" hidden="1" thickBot="1" x14ac:dyDescent="0.35">
      <c r="A88" s="3063" t="s">
        <v>701</v>
      </c>
      <c r="B88" s="3064"/>
      <c r="C88" s="3065"/>
      <c r="D88" s="976" t="s">
        <v>702</v>
      </c>
      <c r="E88" s="977"/>
      <c r="F88" s="977"/>
      <c r="G88" s="977"/>
      <c r="H88" s="977"/>
      <c r="I88" s="977"/>
      <c r="J88" s="978"/>
      <c r="K88" s="3391">
        <f>K91+K96+K90</f>
        <v>0</v>
      </c>
      <c r="L88" s="3392"/>
      <c r="M88" s="3390">
        <v>530</v>
      </c>
      <c r="N88" s="3390"/>
      <c r="O88" s="3390"/>
      <c r="P88" s="3390">
        <f>P90+P91+P96</f>
        <v>590</v>
      </c>
      <c r="Q88" s="3390">
        <v>375.10428000000002</v>
      </c>
      <c r="R88" s="3193">
        <f>R91+R96+R90</f>
        <v>1540</v>
      </c>
      <c r="S88" s="3194"/>
      <c r="T88" s="3193">
        <f>T91+T96+T90</f>
        <v>755</v>
      </c>
      <c r="U88" s="3194"/>
      <c r="V88" s="3392">
        <f>V91</f>
        <v>0</v>
      </c>
      <c r="W88" s="3392">
        <f>W91</f>
        <v>0</v>
      </c>
    </row>
    <row r="89" spans="1:23" hidden="1" thickBot="1" x14ac:dyDescent="0.35">
      <c r="A89" s="3066"/>
      <c r="B89" s="3067"/>
      <c r="C89" s="3068"/>
      <c r="D89" s="979" t="s">
        <v>703</v>
      </c>
      <c r="E89" s="980"/>
      <c r="F89" s="980"/>
      <c r="G89" s="980"/>
      <c r="H89" s="980"/>
      <c r="I89" s="980"/>
      <c r="J89" s="981"/>
      <c r="K89" s="3393"/>
      <c r="L89" s="3394"/>
      <c r="M89" s="3376"/>
      <c r="N89" s="3376"/>
      <c r="O89" s="3376"/>
      <c r="P89" s="3376"/>
      <c r="Q89" s="3376"/>
      <c r="R89" s="3197"/>
      <c r="S89" s="3198"/>
      <c r="T89" s="3197"/>
      <c r="U89" s="3198"/>
      <c r="V89" s="3394"/>
      <c r="W89" s="3394"/>
    </row>
    <row r="90" spans="1:23" ht="28" hidden="1" customHeight="1" thickBot="1" x14ac:dyDescent="0.4">
      <c r="A90" s="3155" t="s">
        <v>1193</v>
      </c>
      <c r="B90" s="3156"/>
      <c r="C90" s="3157"/>
      <c r="D90" s="3306" t="s">
        <v>1194</v>
      </c>
      <c r="E90" s="3307"/>
      <c r="F90" s="3307"/>
      <c r="G90" s="3307"/>
      <c r="H90" s="3307"/>
      <c r="I90" s="3307"/>
      <c r="J90" s="3308"/>
      <c r="K90" s="3405"/>
      <c r="L90" s="3406"/>
      <c r="M90" s="2459"/>
      <c r="N90" s="2460"/>
      <c r="O90" s="2460"/>
      <c r="P90" s="2460"/>
      <c r="Q90" s="2461">
        <v>62.085000000000001</v>
      </c>
      <c r="R90" s="3407"/>
      <c r="S90" s="3408"/>
      <c r="T90" s="3407"/>
      <c r="U90" s="3408"/>
      <c r="V90" s="2880"/>
      <c r="W90" s="2880"/>
    </row>
    <row r="91" spans="1:23" ht="16" hidden="1" thickBot="1" x14ac:dyDescent="0.4">
      <c r="A91" s="3172" t="s">
        <v>706</v>
      </c>
      <c r="B91" s="3173"/>
      <c r="C91" s="3174"/>
      <c r="D91" s="996" t="s">
        <v>707</v>
      </c>
      <c r="E91" s="997"/>
      <c r="F91" s="997"/>
      <c r="G91" s="997"/>
      <c r="H91" s="997"/>
      <c r="I91" s="997"/>
      <c r="J91" s="998"/>
      <c r="K91" s="3409"/>
      <c r="L91" s="3410"/>
      <c r="M91" s="3378">
        <v>190</v>
      </c>
      <c r="N91" s="3378">
        <v>30</v>
      </c>
      <c r="O91" s="3378">
        <v>30</v>
      </c>
      <c r="P91" s="3378">
        <f>M91+N91+O91</f>
        <v>250</v>
      </c>
      <c r="Q91" s="3378">
        <v>243.4375</v>
      </c>
      <c r="R91" s="3412">
        <v>1540</v>
      </c>
      <c r="S91" s="3413"/>
      <c r="T91" s="3412">
        <v>755</v>
      </c>
      <c r="U91" s="3413"/>
      <c r="V91" s="3410">
        <v>0</v>
      </c>
      <c r="W91" s="3410">
        <v>0</v>
      </c>
    </row>
    <row r="92" spans="1:23" ht="16" hidden="1" thickBot="1" x14ac:dyDescent="0.4">
      <c r="A92" s="3094"/>
      <c r="B92" s="3095"/>
      <c r="C92" s="3096"/>
      <c r="D92" s="996" t="s">
        <v>708</v>
      </c>
      <c r="E92" s="997"/>
      <c r="F92" s="997"/>
      <c r="G92" s="997"/>
      <c r="H92" s="997"/>
      <c r="I92" s="997"/>
      <c r="J92" s="998"/>
      <c r="K92" s="3367"/>
      <c r="L92" s="3368"/>
      <c r="M92" s="3390"/>
      <c r="N92" s="3390"/>
      <c r="O92" s="3390"/>
      <c r="P92" s="3390"/>
      <c r="Q92" s="3390"/>
      <c r="R92" s="3412"/>
      <c r="S92" s="3413"/>
      <c r="T92" s="3412"/>
      <c r="U92" s="3413"/>
      <c r="V92" s="3368"/>
      <c r="W92" s="3368"/>
    </row>
    <row r="93" spans="1:23" ht="16" hidden="1" thickBot="1" x14ac:dyDescent="0.4">
      <c r="A93" s="3094"/>
      <c r="B93" s="3095"/>
      <c r="C93" s="3096"/>
      <c r="D93" s="996" t="s">
        <v>709</v>
      </c>
      <c r="E93" s="997"/>
      <c r="F93" s="997"/>
      <c r="G93" s="997"/>
      <c r="H93" s="997"/>
      <c r="I93" s="997"/>
      <c r="J93" s="998"/>
      <c r="K93" s="3367"/>
      <c r="L93" s="3368"/>
      <c r="M93" s="3390"/>
      <c r="N93" s="3390"/>
      <c r="O93" s="3390"/>
      <c r="P93" s="3390"/>
      <c r="Q93" s="3390"/>
      <c r="R93" s="3412"/>
      <c r="S93" s="3413"/>
      <c r="T93" s="3412"/>
      <c r="U93" s="3413"/>
      <c r="V93" s="3368"/>
      <c r="W93" s="3368"/>
    </row>
    <row r="94" spans="1:23" ht="16" hidden="1" thickBot="1" x14ac:dyDescent="0.4">
      <c r="A94" s="3094"/>
      <c r="B94" s="3095"/>
      <c r="C94" s="3096"/>
      <c r="D94" s="996" t="s">
        <v>710</v>
      </c>
      <c r="E94" s="997"/>
      <c r="F94" s="997"/>
      <c r="G94" s="997"/>
      <c r="H94" s="997"/>
      <c r="I94" s="997"/>
      <c r="J94" s="998"/>
      <c r="K94" s="3367"/>
      <c r="L94" s="3368"/>
      <c r="M94" s="3390"/>
      <c r="N94" s="3390"/>
      <c r="O94" s="3390"/>
      <c r="P94" s="3390"/>
      <c r="Q94" s="3390"/>
      <c r="R94" s="3412"/>
      <c r="S94" s="3413"/>
      <c r="T94" s="3412"/>
      <c r="U94" s="3413"/>
      <c r="V94" s="3368"/>
      <c r="W94" s="3368"/>
    </row>
    <row r="95" spans="1:23" ht="16" hidden="1" thickBot="1" x14ac:dyDescent="0.4">
      <c r="A95" s="3018"/>
      <c r="B95" s="3019"/>
      <c r="C95" s="3020"/>
      <c r="D95" s="985" t="s">
        <v>711</v>
      </c>
      <c r="E95" s="986"/>
      <c r="F95" s="986"/>
      <c r="G95" s="986"/>
      <c r="H95" s="986"/>
      <c r="I95" s="986"/>
      <c r="J95" s="987"/>
      <c r="K95" s="3311"/>
      <c r="L95" s="3312"/>
      <c r="M95" s="3390"/>
      <c r="N95" s="3390"/>
      <c r="O95" s="3390"/>
      <c r="P95" s="3390"/>
      <c r="Q95" s="3390"/>
      <c r="R95" s="3414"/>
      <c r="S95" s="3415"/>
      <c r="T95" s="3414"/>
      <c r="U95" s="3415"/>
      <c r="V95" s="3312"/>
      <c r="W95" s="3312"/>
    </row>
    <row r="96" spans="1:23" ht="15.65" hidden="1" customHeight="1" x14ac:dyDescent="0.35">
      <c r="A96" s="3015" t="s">
        <v>712</v>
      </c>
      <c r="B96" s="3016"/>
      <c r="C96" s="3017"/>
      <c r="D96" s="996" t="s">
        <v>713</v>
      </c>
      <c r="E96" s="997"/>
      <c r="F96" s="997"/>
      <c r="G96" s="997"/>
      <c r="H96" s="997"/>
      <c r="I96" s="997"/>
      <c r="J96" s="998"/>
      <c r="K96" s="3309"/>
      <c r="L96" s="3310"/>
      <c r="M96" s="3390">
        <v>340</v>
      </c>
      <c r="N96" s="3390"/>
      <c r="O96" s="3390"/>
      <c r="P96" s="3390">
        <f>M96+N96+O96</f>
        <v>340</v>
      </c>
      <c r="Q96" s="3390">
        <v>69.581779999999995</v>
      </c>
      <c r="R96" s="3395"/>
      <c r="S96" s="3411"/>
      <c r="T96" s="3395"/>
      <c r="U96" s="3411"/>
      <c r="V96" s="3310"/>
      <c r="W96" s="3310"/>
    </row>
    <row r="97" spans="1:29" ht="15.65" hidden="1" customHeight="1" x14ac:dyDescent="0.35">
      <c r="A97" s="3094"/>
      <c r="B97" s="3095"/>
      <c r="C97" s="3096"/>
      <c r="D97" s="996" t="s">
        <v>714</v>
      </c>
      <c r="E97" s="997"/>
      <c r="F97" s="997"/>
      <c r="G97" s="997"/>
      <c r="H97" s="997"/>
      <c r="I97" s="997"/>
      <c r="J97" s="998"/>
      <c r="K97" s="3367"/>
      <c r="L97" s="3368"/>
      <c r="M97" s="3390"/>
      <c r="N97" s="3390"/>
      <c r="O97" s="3390"/>
      <c r="P97" s="3390"/>
      <c r="Q97" s="3390"/>
      <c r="R97" s="3412"/>
      <c r="S97" s="3413"/>
      <c r="T97" s="3412"/>
      <c r="U97" s="3413"/>
      <c r="V97" s="3368"/>
      <c r="W97" s="3368"/>
    </row>
    <row r="98" spans="1:29" ht="15.65" hidden="1" customHeight="1" x14ac:dyDescent="0.35">
      <c r="A98" s="3094"/>
      <c r="B98" s="3095"/>
      <c r="C98" s="3096"/>
      <c r="D98" s="996" t="s">
        <v>715</v>
      </c>
      <c r="E98" s="997"/>
      <c r="F98" s="997"/>
      <c r="G98" s="997"/>
      <c r="H98" s="997"/>
      <c r="I98" s="997"/>
      <c r="J98" s="998"/>
      <c r="K98" s="3367"/>
      <c r="L98" s="3368"/>
      <c r="M98" s="3390"/>
      <c r="N98" s="3390"/>
      <c r="O98" s="3390"/>
      <c r="P98" s="3390"/>
      <c r="Q98" s="3390"/>
      <c r="R98" s="3412"/>
      <c r="S98" s="3413"/>
      <c r="T98" s="3412"/>
      <c r="U98" s="3413"/>
      <c r="V98" s="3368"/>
      <c r="W98" s="3368"/>
    </row>
    <row r="99" spans="1:29" ht="15.75" hidden="1" customHeight="1" thickBot="1" x14ac:dyDescent="0.4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3311"/>
      <c r="L99" s="3312"/>
      <c r="M99" s="2879"/>
      <c r="N99" s="2879"/>
      <c r="O99" s="2879"/>
      <c r="P99" s="2879"/>
      <c r="Q99" s="2463"/>
      <c r="R99" s="3412"/>
      <c r="S99" s="3413"/>
      <c r="T99" s="3412"/>
      <c r="U99" s="3413"/>
      <c r="V99" s="3312"/>
      <c r="W99" s="3312"/>
    </row>
    <row r="100" spans="1:29" ht="15.75" customHeight="1" x14ac:dyDescent="0.35">
      <c r="A100" s="3063" t="s">
        <v>716</v>
      </c>
      <c r="B100" s="3064"/>
      <c r="C100" s="3065"/>
      <c r="D100" s="3084" t="s">
        <v>717</v>
      </c>
      <c r="E100" s="3085"/>
      <c r="F100" s="3085"/>
      <c r="G100" s="3085"/>
      <c r="H100" s="3085"/>
      <c r="I100" s="3085"/>
      <c r="J100" s="3086"/>
      <c r="K100" s="3391">
        <f>K102</f>
        <v>20</v>
      </c>
      <c r="L100" s="3392"/>
      <c r="M100" s="2879"/>
      <c r="N100" s="2879"/>
      <c r="O100" s="2879"/>
      <c r="P100" s="2879"/>
      <c r="Q100" s="2463"/>
      <c r="R100" s="3193">
        <f>R102</f>
        <v>10</v>
      </c>
      <c r="S100" s="3194"/>
      <c r="T100" s="3193">
        <f>T102</f>
        <v>11</v>
      </c>
      <c r="U100" s="3194"/>
      <c r="V100" s="3392">
        <f>V102</f>
        <v>22</v>
      </c>
      <c r="W100" s="3392">
        <f>W102</f>
        <v>23</v>
      </c>
    </row>
    <row r="101" spans="1:29" ht="15.75" customHeight="1" thickBot="1" x14ac:dyDescent="0.4">
      <c r="A101" s="3066"/>
      <c r="B101" s="3067"/>
      <c r="C101" s="3068"/>
      <c r="D101" s="3087"/>
      <c r="E101" s="3088"/>
      <c r="F101" s="3088"/>
      <c r="G101" s="3088"/>
      <c r="H101" s="3088"/>
      <c r="I101" s="3088"/>
      <c r="J101" s="3089"/>
      <c r="K101" s="3393"/>
      <c r="L101" s="3394"/>
      <c r="M101" s="2879"/>
      <c r="N101" s="2879"/>
      <c r="O101" s="2879"/>
      <c r="P101" s="2879"/>
      <c r="Q101" s="2463"/>
      <c r="R101" s="3418"/>
      <c r="S101" s="3419"/>
      <c r="T101" s="3418"/>
      <c r="U101" s="3419"/>
      <c r="V101" s="3394"/>
      <c r="W101" s="3394"/>
    </row>
    <row r="102" spans="1:29" ht="15.75" customHeight="1" x14ac:dyDescent="0.35">
      <c r="A102" s="3015" t="s">
        <v>1105</v>
      </c>
      <c r="B102" s="3016"/>
      <c r="C102" s="3017"/>
      <c r="D102" s="3177" t="s">
        <v>999</v>
      </c>
      <c r="E102" s="3178"/>
      <c r="F102" s="3178"/>
      <c r="G102" s="3178"/>
      <c r="H102" s="3178"/>
      <c r="I102" s="3178"/>
      <c r="J102" s="3179"/>
      <c r="K102" s="3309">
        <v>20</v>
      </c>
      <c r="L102" s="3310"/>
      <c r="M102" s="2879"/>
      <c r="N102" s="2879"/>
      <c r="O102" s="2879"/>
      <c r="P102" s="2879"/>
      <c r="Q102" s="2463"/>
      <c r="R102" s="3395">
        <v>10</v>
      </c>
      <c r="S102" s="3411"/>
      <c r="T102" s="3395">
        <v>11</v>
      </c>
      <c r="U102" s="3411"/>
      <c r="V102" s="3310">
        <v>22</v>
      </c>
      <c r="W102" s="3310">
        <v>23</v>
      </c>
    </row>
    <row r="103" spans="1:29" ht="27" customHeight="1" thickBot="1" x14ac:dyDescent="0.4">
      <c r="A103" s="3018"/>
      <c r="B103" s="3019"/>
      <c r="C103" s="3020"/>
      <c r="D103" s="3180"/>
      <c r="E103" s="3181"/>
      <c r="F103" s="3181"/>
      <c r="G103" s="3181"/>
      <c r="H103" s="3181"/>
      <c r="I103" s="3181"/>
      <c r="J103" s="3182"/>
      <c r="K103" s="3311"/>
      <c r="L103" s="3312"/>
      <c r="M103" s="2879"/>
      <c r="N103" s="2879"/>
      <c r="O103" s="2879"/>
      <c r="P103" s="2879"/>
      <c r="Q103" s="2463"/>
      <c r="R103" s="3416"/>
      <c r="S103" s="3417"/>
      <c r="T103" s="3416"/>
      <c r="U103" s="3417"/>
      <c r="V103" s="3312"/>
      <c r="W103" s="3312"/>
    </row>
    <row r="104" spans="1:29" hidden="1" thickBot="1" x14ac:dyDescent="0.35">
      <c r="A104" s="3025" t="s">
        <v>720</v>
      </c>
      <c r="B104" s="3026"/>
      <c r="C104" s="3027"/>
      <c r="D104" s="976"/>
      <c r="E104" s="977"/>
      <c r="F104" s="977"/>
      <c r="G104" s="977"/>
      <c r="H104" s="977"/>
      <c r="I104" s="977"/>
      <c r="J104" s="978"/>
      <c r="K104" s="3391">
        <f>K106</f>
        <v>0</v>
      </c>
      <c r="L104" s="3392"/>
      <c r="M104" s="3390">
        <v>90</v>
      </c>
      <c r="N104" s="3390"/>
      <c r="O104" s="3390"/>
      <c r="P104" s="3390">
        <f>P106</f>
        <v>0</v>
      </c>
      <c r="Q104" s="3390">
        <v>129.83756</v>
      </c>
      <c r="R104" s="3193">
        <f>R106</f>
        <v>0</v>
      </c>
      <c r="S104" s="3194"/>
      <c r="T104" s="3193">
        <f>T106</f>
        <v>0</v>
      </c>
      <c r="U104" s="3194"/>
      <c r="V104" s="3392">
        <f>V106</f>
        <v>0</v>
      </c>
      <c r="W104" s="3392">
        <f>W106</f>
        <v>0</v>
      </c>
    </row>
    <row r="105" spans="1:29" hidden="1" thickBot="1" x14ac:dyDescent="0.35">
      <c r="A105" s="3028"/>
      <c r="B105" s="3029"/>
      <c r="C105" s="3030"/>
      <c r="D105" s="1009" t="s">
        <v>721</v>
      </c>
      <c r="E105" s="1010"/>
      <c r="F105" s="1010"/>
      <c r="G105" s="1010"/>
      <c r="H105" s="1010"/>
      <c r="I105" s="1010"/>
      <c r="J105" s="1011"/>
      <c r="K105" s="3393"/>
      <c r="L105" s="3394"/>
      <c r="M105" s="3390"/>
      <c r="N105" s="3390"/>
      <c r="O105" s="3390"/>
      <c r="P105" s="3390"/>
      <c r="Q105" s="3390"/>
      <c r="R105" s="3418"/>
      <c r="S105" s="3419"/>
      <c r="T105" s="3418"/>
      <c r="U105" s="3419"/>
      <c r="V105" s="3394"/>
      <c r="W105" s="3394"/>
    </row>
    <row r="106" spans="1:29" ht="15" hidden="1" customHeight="1" x14ac:dyDescent="0.3">
      <c r="A106" s="3012" t="s">
        <v>722</v>
      </c>
      <c r="B106" s="3013"/>
      <c r="C106" s="3014"/>
      <c r="D106" s="976"/>
      <c r="E106" s="977"/>
      <c r="F106" s="977"/>
      <c r="G106" s="977"/>
      <c r="H106" s="977"/>
      <c r="I106" s="977"/>
      <c r="J106" s="978"/>
      <c r="K106" s="3309"/>
      <c r="L106" s="3310"/>
      <c r="M106" s="3390"/>
      <c r="N106" s="3390"/>
      <c r="O106" s="3390"/>
      <c r="P106" s="3390"/>
      <c r="Q106" s="3390"/>
      <c r="R106" s="3395"/>
      <c r="S106" s="3411"/>
      <c r="T106" s="3395"/>
      <c r="U106" s="3411"/>
      <c r="V106" s="3310"/>
      <c r="W106" s="3310"/>
    </row>
    <row r="107" spans="1:29" ht="16" hidden="1" thickBot="1" x14ac:dyDescent="0.4">
      <c r="A107" s="3006"/>
      <c r="B107" s="2999"/>
      <c r="C107" s="3007"/>
      <c r="D107" s="1003" t="s">
        <v>723</v>
      </c>
      <c r="E107" s="1010"/>
      <c r="F107" s="1010"/>
      <c r="G107" s="1010"/>
      <c r="H107" s="1010"/>
      <c r="I107" s="1010"/>
      <c r="J107" s="1011"/>
      <c r="K107" s="3311"/>
      <c r="L107" s="3312"/>
      <c r="M107" s="3390"/>
      <c r="N107" s="3390"/>
      <c r="O107" s="3390"/>
      <c r="P107" s="3390"/>
      <c r="Q107" s="3390"/>
      <c r="R107" s="3416"/>
      <c r="S107" s="3417"/>
      <c r="T107" s="3416"/>
      <c r="U107" s="3417"/>
      <c r="V107" s="3368"/>
      <c r="W107" s="3312"/>
    </row>
    <row r="108" spans="1:29" ht="15" x14ac:dyDescent="0.3">
      <c r="A108" s="3025" t="s">
        <v>724</v>
      </c>
      <c r="B108" s="3026"/>
      <c r="C108" s="3027"/>
      <c r="D108" s="976"/>
      <c r="E108" s="977"/>
      <c r="F108" s="977"/>
      <c r="G108" s="977"/>
      <c r="H108" s="977"/>
      <c r="I108" s="977"/>
      <c r="J108" s="978"/>
      <c r="K108" s="3391">
        <f>K111+K112+K113+K115+K116+K117+K118+K119+K120+K122+K121+K125+K126+K114</f>
        <v>41919.772400000002</v>
      </c>
      <c r="L108" s="3392">
        <f t="shared" ref="L108" si="0">SUM(L111:L126)</f>
        <v>0</v>
      </c>
      <c r="M108" s="3390">
        <v>8484.0619999999999</v>
      </c>
      <c r="N108" s="3390"/>
      <c r="O108" s="3390"/>
      <c r="P108" s="3390">
        <f>P111+P125+P126+P127+P130</f>
        <v>8524.0619999999999</v>
      </c>
      <c r="Q108" s="3390">
        <v>3580.9459499999998</v>
      </c>
      <c r="R108" s="3193">
        <f>R111+R125+R126+R127+R130+R112+S116+R129+R119+R117</f>
        <v>810.5</v>
      </c>
      <c r="S108" s="3194"/>
      <c r="T108" s="3193">
        <f>T111+T125+T126+T127+T130+T112+U116+T129+T119+T117</f>
        <v>818.5</v>
      </c>
      <c r="U108" s="3422"/>
      <c r="V108" s="3425">
        <f>V111+V112+V113+V115+V116+V117+V118+V119+V120+V122+V121+V125+V126+V114</f>
        <v>52000.312439999994</v>
      </c>
      <c r="W108" s="3392">
        <f>W111+W112+W113+W115+W116+W117+W118+W119+W120+W122+W121+W125+W126</f>
        <v>22653.640000000003</v>
      </c>
      <c r="X108" s="547">
        <f t="shared" ref="X108" si="1">SUM(X111:X126)</f>
        <v>2174.9</v>
      </c>
    </row>
    <row r="109" spans="1:29" ht="15" x14ac:dyDescent="0.3">
      <c r="A109" s="3205"/>
      <c r="B109" s="3206"/>
      <c r="C109" s="3207"/>
      <c r="D109" s="999" t="s">
        <v>725</v>
      </c>
      <c r="E109" s="1000"/>
      <c r="F109" s="1000"/>
      <c r="G109" s="1000"/>
      <c r="H109" s="1000"/>
      <c r="I109" s="1000"/>
      <c r="J109" s="1001"/>
      <c r="K109" s="3431"/>
      <c r="L109" s="3428"/>
      <c r="M109" s="3390"/>
      <c r="N109" s="3390"/>
      <c r="O109" s="3390"/>
      <c r="P109" s="3390"/>
      <c r="Q109" s="3390"/>
      <c r="R109" s="3195"/>
      <c r="S109" s="3196"/>
      <c r="T109" s="3195"/>
      <c r="U109" s="3423"/>
      <c r="V109" s="3426"/>
      <c r="W109" s="3428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3393"/>
      <c r="L110" s="3394"/>
      <c r="M110" s="2879"/>
      <c r="N110" s="2879"/>
      <c r="O110" s="2879"/>
      <c r="P110" s="2879"/>
      <c r="Q110" s="2463"/>
      <c r="R110" s="3197"/>
      <c r="S110" s="3198"/>
      <c r="T110" s="3197"/>
      <c r="U110" s="3424"/>
      <c r="V110" s="3427"/>
      <c r="W110" s="3394"/>
    </row>
    <row r="111" spans="1:29" ht="34.5" customHeight="1" thickBot="1" x14ac:dyDescent="0.4">
      <c r="A111" s="3185" t="s">
        <v>1184</v>
      </c>
      <c r="B111" s="3186"/>
      <c r="C111" s="3187"/>
      <c r="D111" s="3188" t="s">
        <v>1185</v>
      </c>
      <c r="E111" s="3199"/>
      <c r="F111" s="3199"/>
      <c r="G111" s="3199"/>
      <c r="H111" s="3199"/>
      <c r="I111" s="3199"/>
      <c r="J111" s="3200"/>
      <c r="K111" s="3420">
        <v>18595.7</v>
      </c>
      <c r="L111" s="3421"/>
      <c r="M111" s="2879">
        <v>6410.5</v>
      </c>
      <c r="N111" s="2879"/>
      <c r="O111" s="2879"/>
      <c r="P111" s="2879">
        <f>M111</f>
        <v>6410.5</v>
      </c>
      <c r="Q111" s="2463">
        <v>1538.52</v>
      </c>
      <c r="R111" s="3429"/>
      <c r="S111" s="3430"/>
      <c r="T111" s="3429"/>
      <c r="U111" s="3430"/>
      <c r="V111" s="2464">
        <v>18664</v>
      </c>
      <c r="W111" s="2881">
        <v>18599.400000000001</v>
      </c>
    </row>
    <row r="112" spans="1:29" ht="34.5" customHeight="1" thickBot="1" x14ac:dyDescent="0.4">
      <c r="A112" s="3210" t="s">
        <v>1001</v>
      </c>
      <c r="B112" s="3211"/>
      <c r="C112" s="3212"/>
      <c r="D112" s="3303" t="s">
        <v>1002</v>
      </c>
      <c r="E112" s="3304"/>
      <c r="F112" s="3304"/>
      <c r="G112" s="3304"/>
      <c r="H112" s="3304"/>
      <c r="I112" s="3304"/>
      <c r="J112" s="3305"/>
      <c r="K112" s="3420">
        <f>5868.75+1744.01</f>
        <v>7612.76</v>
      </c>
      <c r="L112" s="3421"/>
      <c r="M112" s="2879"/>
      <c r="N112" s="2879"/>
      <c r="O112" s="2879"/>
      <c r="P112" s="2879"/>
      <c r="Q112" s="2463"/>
      <c r="R112" s="2466"/>
      <c r="S112" s="2467"/>
      <c r="T112" s="2466"/>
      <c r="U112" s="2467"/>
      <c r="V112" s="2813">
        <f>14400-11122+2376.89</f>
        <v>5654.8899999999994</v>
      </c>
      <c r="W112" s="2813">
        <v>2368</v>
      </c>
      <c r="AC112" s="547">
        <v>95</v>
      </c>
    </row>
    <row r="113" spans="1:30" ht="61.5" customHeight="1" thickBot="1" x14ac:dyDescent="0.4">
      <c r="A113" s="3210" t="s">
        <v>975</v>
      </c>
      <c r="B113" s="3211"/>
      <c r="C113" s="3212"/>
      <c r="D113" s="3188" t="s">
        <v>888</v>
      </c>
      <c r="E113" s="3189"/>
      <c r="F113" s="3189"/>
      <c r="G113" s="3189"/>
      <c r="H113" s="3189"/>
      <c r="I113" s="3189"/>
      <c r="J113" s="3190"/>
      <c r="K113" s="3420">
        <v>652.5</v>
      </c>
      <c r="L113" s="3421"/>
      <c r="M113" s="2468"/>
      <c r="N113" s="2468"/>
      <c r="O113" s="2468"/>
      <c r="P113" s="2468"/>
      <c r="Q113" s="2469"/>
      <c r="R113" s="2882"/>
      <c r="S113" s="2883"/>
      <c r="T113" s="2882"/>
      <c r="U113" s="2883"/>
      <c r="V113" s="2874">
        <v>0</v>
      </c>
      <c r="W113" s="2874">
        <v>0</v>
      </c>
      <c r="AB113" s="550"/>
      <c r="AC113" s="547">
        <v>-5.7</v>
      </c>
      <c r="AD113" s="547">
        <v>383.2</v>
      </c>
    </row>
    <row r="114" spans="1:30" ht="69" customHeight="1" thickBot="1" x14ac:dyDescent="0.4">
      <c r="A114" s="3210" t="s">
        <v>975</v>
      </c>
      <c r="B114" s="3211"/>
      <c r="C114" s="3212"/>
      <c r="D114" s="3432" t="s">
        <v>1226</v>
      </c>
      <c r="E114" s="3433"/>
      <c r="F114" s="3433"/>
      <c r="G114" s="3433"/>
      <c r="H114" s="3433"/>
      <c r="I114" s="3433"/>
      <c r="J114" s="3434"/>
      <c r="K114" s="3313">
        <v>6453.7214400000003</v>
      </c>
      <c r="L114" s="3314"/>
      <c r="M114" s="2876">
        <v>485.56200000000001</v>
      </c>
      <c r="N114" s="2876"/>
      <c r="O114" s="2876"/>
      <c r="P114" s="2876">
        <v>485.56200000000001</v>
      </c>
      <c r="Q114" s="2878">
        <v>485.56200000000001</v>
      </c>
      <c r="R114" s="2472"/>
      <c r="S114" s="2473"/>
      <c r="T114" s="2472"/>
      <c r="U114" s="2473"/>
      <c r="V114" s="2874">
        <f>31332.00388-6453.72144</f>
        <v>24878.282439999999</v>
      </c>
      <c r="W114" s="2874">
        <v>0</v>
      </c>
      <c r="AB114" s="550"/>
    </row>
    <row r="115" spans="1:30" ht="31.5" customHeight="1" thickBot="1" x14ac:dyDescent="0.4">
      <c r="A115" s="3210" t="s">
        <v>1156</v>
      </c>
      <c r="B115" s="3211"/>
      <c r="C115" s="3212"/>
      <c r="D115" s="3432" t="s">
        <v>1227</v>
      </c>
      <c r="E115" s="3433"/>
      <c r="F115" s="3433"/>
      <c r="G115" s="3433"/>
      <c r="H115" s="3433"/>
      <c r="I115" s="3433"/>
      <c r="J115" s="3434"/>
      <c r="K115" s="3435">
        <f>1834.1-0.04904</f>
        <v>1834.0509599999998</v>
      </c>
      <c r="L115" s="3436"/>
      <c r="M115" s="2876"/>
      <c r="N115" s="2876"/>
      <c r="O115" s="2876"/>
      <c r="P115" s="2876"/>
      <c r="Q115" s="2878"/>
      <c r="R115" s="2472"/>
      <c r="S115" s="2473"/>
      <c r="T115" s="2472"/>
      <c r="U115" s="2473"/>
      <c r="V115" s="2874">
        <v>0</v>
      </c>
      <c r="W115" s="2874">
        <v>0</v>
      </c>
      <c r="AB115" s="550"/>
    </row>
    <row r="116" spans="1:30" ht="49.5" customHeight="1" thickBot="1" x14ac:dyDescent="0.4">
      <c r="A116" s="3185" t="s">
        <v>974</v>
      </c>
      <c r="B116" s="3186"/>
      <c r="C116" s="3187"/>
      <c r="D116" s="3188" t="s">
        <v>1215</v>
      </c>
      <c r="E116" s="3189"/>
      <c r="F116" s="3189"/>
      <c r="G116" s="3189"/>
      <c r="H116" s="3189"/>
      <c r="I116" s="3189"/>
      <c r="J116" s="3190"/>
      <c r="K116" s="3313">
        <v>1747.6</v>
      </c>
      <c r="L116" s="3314"/>
      <c r="M116" s="2876">
        <v>485.56200000000001</v>
      </c>
      <c r="N116" s="2876"/>
      <c r="O116" s="2876"/>
      <c r="P116" s="2876">
        <v>485.56200000000001</v>
      </c>
      <c r="Q116" s="2878">
        <v>485.56200000000001</v>
      </c>
      <c r="R116" s="2472"/>
      <c r="S116" s="2473"/>
      <c r="T116" s="2472"/>
      <c r="U116" s="2473"/>
      <c r="V116" s="2874">
        <v>0</v>
      </c>
      <c r="W116" s="2874">
        <v>0</v>
      </c>
      <c r="X116" s="1791">
        <v>1333.1</v>
      </c>
      <c r="Y116" s="1790">
        <v>1333.1</v>
      </c>
      <c r="Z116" s="1790">
        <v>1333.1</v>
      </c>
      <c r="AB116" s="2217">
        <f>278.4+643.25+2136.73+405.4</f>
        <v>3463.78</v>
      </c>
      <c r="AC116" s="547">
        <f>-1333.1</f>
        <v>-1333.1</v>
      </c>
    </row>
    <row r="117" spans="1:30" ht="63" customHeight="1" thickBot="1" x14ac:dyDescent="0.4">
      <c r="A117" s="3185" t="s">
        <v>974</v>
      </c>
      <c r="B117" s="3186"/>
      <c r="C117" s="3187"/>
      <c r="D117" s="3303" t="s">
        <v>1100</v>
      </c>
      <c r="E117" s="3304"/>
      <c r="F117" s="3304"/>
      <c r="G117" s="3304"/>
      <c r="H117" s="3304"/>
      <c r="I117" s="3304"/>
      <c r="J117" s="3305"/>
      <c r="K117" s="3227">
        <v>405.4</v>
      </c>
      <c r="L117" s="3228"/>
      <c r="M117" s="2401"/>
      <c r="N117" s="2401"/>
      <c r="O117" s="2401"/>
      <c r="P117" s="2401"/>
      <c r="Q117" s="2864"/>
      <c r="R117" s="3229"/>
      <c r="S117" s="3230"/>
      <c r="T117" s="3229"/>
      <c r="U117" s="3230"/>
      <c r="V117" s="2869">
        <v>0</v>
      </c>
      <c r="W117" s="2869">
        <v>0</v>
      </c>
      <c r="X117" s="1791"/>
      <c r="Y117" s="1790"/>
      <c r="Z117" s="1790"/>
    </row>
    <row r="118" spans="1:30" ht="36.65" customHeight="1" thickBot="1" x14ac:dyDescent="0.4">
      <c r="A118" s="3185" t="s">
        <v>974</v>
      </c>
      <c r="B118" s="3186"/>
      <c r="C118" s="3187"/>
      <c r="D118" s="3303" t="s">
        <v>1101</v>
      </c>
      <c r="E118" s="3304"/>
      <c r="F118" s="3304"/>
      <c r="G118" s="3304"/>
      <c r="H118" s="3304"/>
      <c r="I118" s="3304"/>
      <c r="J118" s="3305"/>
      <c r="K118" s="3227">
        <v>1300.3</v>
      </c>
      <c r="L118" s="3228"/>
      <c r="M118" s="2401"/>
      <c r="N118" s="2401"/>
      <c r="O118" s="2401"/>
      <c r="P118" s="2401"/>
      <c r="Q118" s="2864"/>
      <c r="R118" s="2870"/>
      <c r="S118" s="2871"/>
      <c r="T118" s="2870"/>
      <c r="U118" s="2871"/>
      <c r="V118" s="2869">
        <v>1053.0999999999999</v>
      </c>
      <c r="W118" s="2869">
        <v>787.2</v>
      </c>
      <c r="X118" s="1791"/>
      <c r="Y118" s="1790"/>
      <c r="Z118" s="1790"/>
    </row>
    <row r="119" spans="1:30" ht="60.65" customHeight="1" thickBot="1" x14ac:dyDescent="0.4">
      <c r="A119" s="3185" t="s">
        <v>974</v>
      </c>
      <c r="B119" s="3186"/>
      <c r="C119" s="3187"/>
      <c r="D119" s="3220" t="s">
        <v>1102</v>
      </c>
      <c r="E119" s="3221"/>
      <c r="F119" s="3221"/>
      <c r="G119" s="3221"/>
      <c r="H119" s="3221"/>
      <c r="I119" s="3221"/>
      <c r="J119" s="3222"/>
      <c r="K119" s="3227">
        <v>2118.6999999999998</v>
      </c>
      <c r="L119" s="3228"/>
      <c r="M119" s="2401"/>
      <c r="N119" s="2401"/>
      <c r="O119" s="2401"/>
      <c r="P119" s="2401"/>
      <c r="Q119" s="2864"/>
      <c r="R119" s="3229"/>
      <c r="S119" s="3230"/>
      <c r="T119" s="3229"/>
      <c r="U119" s="3230"/>
      <c r="V119" s="2869">
        <v>0</v>
      </c>
      <c r="W119" s="2869">
        <v>0</v>
      </c>
      <c r="X119" s="1791"/>
      <c r="Y119" s="1790"/>
      <c r="Z119" s="1790"/>
    </row>
    <row r="120" spans="1:30" ht="33" customHeight="1" thickBot="1" x14ac:dyDescent="0.4">
      <c r="A120" s="3185" t="s">
        <v>974</v>
      </c>
      <c r="B120" s="3186"/>
      <c r="C120" s="3187"/>
      <c r="D120" s="3188" t="s">
        <v>1186</v>
      </c>
      <c r="E120" s="3199"/>
      <c r="F120" s="3199"/>
      <c r="G120" s="3199"/>
      <c r="H120" s="3199"/>
      <c r="I120" s="3199"/>
      <c r="J120" s="3200"/>
      <c r="K120" s="3227">
        <v>300</v>
      </c>
      <c r="L120" s="3228"/>
      <c r="M120" s="2401">
        <v>613</v>
      </c>
      <c r="N120" s="2401"/>
      <c r="O120" s="2401"/>
      <c r="P120" s="2401">
        <v>613</v>
      </c>
      <c r="Q120" s="2864">
        <v>613</v>
      </c>
      <c r="R120" s="3229"/>
      <c r="S120" s="3230"/>
      <c r="T120" s="3229"/>
      <c r="U120" s="3230"/>
      <c r="V120" s="2869">
        <v>0</v>
      </c>
      <c r="W120" s="2869">
        <v>0</v>
      </c>
      <c r="X120" s="1791"/>
      <c r="Y120" s="1790"/>
      <c r="Z120" s="1790"/>
    </row>
    <row r="121" spans="1:30" ht="34.5" customHeight="1" thickBot="1" x14ac:dyDescent="0.4">
      <c r="A121" s="3185" t="s">
        <v>974</v>
      </c>
      <c r="B121" s="3186"/>
      <c r="C121" s="3187"/>
      <c r="D121" s="3188" t="s">
        <v>1148</v>
      </c>
      <c r="E121" s="3189"/>
      <c r="F121" s="3189"/>
      <c r="G121" s="3189"/>
      <c r="H121" s="3189"/>
      <c r="I121" s="3189"/>
      <c r="J121" s="3190"/>
      <c r="K121" s="3227">
        <v>0</v>
      </c>
      <c r="L121" s="3228"/>
      <c r="M121" s="2401"/>
      <c r="N121" s="2401"/>
      <c r="O121" s="2401"/>
      <c r="P121" s="2401"/>
      <c r="Q121" s="2864"/>
      <c r="R121" s="2870"/>
      <c r="S121" s="2871"/>
      <c r="T121" s="2870"/>
      <c r="U121" s="2871"/>
      <c r="V121" s="2869">
        <v>851</v>
      </c>
      <c r="W121" s="2869">
        <v>0</v>
      </c>
      <c r="X121" s="1791"/>
      <c r="Y121" s="1790"/>
      <c r="Z121" s="1790"/>
    </row>
    <row r="122" spans="1:30" ht="35.25" hidden="1" customHeight="1" thickBot="1" x14ac:dyDescent="0.4">
      <c r="A122" s="3459" t="s">
        <v>974</v>
      </c>
      <c r="B122" s="3460"/>
      <c r="C122" s="3461"/>
      <c r="D122" s="3462" t="s">
        <v>1216</v>
      </c>
      <c r="E122" s="3463"/>
      <c r="F122" s="3463"/>
      <c r="G122" s="3463"/>
      <c r="H122" s="3463"/>
      <c r="I122" s="3463"/>
      <c r="J122" s="3464"/>
      <c r="K122" s="3465"/>
      <c r="L122" s="3466"/>
      <c r="M122" s="2886"/>
      <c r="N122" s="2886"/>
      <c r="O122" s="2886"/>
      <c r="P122" s="2886"/>
      <c r="Q122" s="1749"/>
      <c r="R122" s="2887"/>
      <c r="S122" s="2888"/>
      <c r="T122" s="2887"/>
      <c r="U122" s="2888"/>
      <c r="V122" s="2889">
        <v>0</v>
      </c>
      <c r="W122" s="2889">
        <f>6291-6291</f>
        <v>0</v>
      </c>
      <c r="X122" s="1791"/>
      <c r="Y122" s="1790"/>
      <c r="Z122" s="1790"/>
    </row>
    <row r="123" spans="1:30" ht="35.25" customHeight="1" thickBot="1" x14ac:dyDescent="0.4">
      <c r="A123" s="3185" t="s">
        <v>974</v>
      </c>
      <c r="B123" s="3186"/>
      <c r="C123" s="3187"/>
      <c r="D123" s="3188" t="s">
        <v>1154</v>
      </c>
      <c r="E123" s="3189"/>
      <c r="F123" s="3189"/>
      <c r="G123" s="3189"/>
      <c r="H123" s="3189"/>
      <c r="I123" s="3189"/>
      <c r="J123" s="3190"/>
      <c r="K123" s="3227">
        <v>0</v>
      </c>
      <c r="L123" s="3228"/>
      <c r="M123" s="2401"/>
      <c r="N123" s="2401"/>
      <c r="O123" s="2401"/>
      <c r="P123" s="2401"/>
      <c r="Q123" s="2864"/>
      <c r="R123" s="2870"/>
      <c r="S123" s="2871"/>
      <c r="T123" s="2870"/>
      <c r="U123" s="2871"/>
      <c r="V123" s="2869">
        <v>0</v>
      </c>
      <c r="W123" s="2869">
        <v>0</v>
      </c>
      <c r="X123" s="1791"/>
      <c r="Y123" s="1790"/>
      <c r="Z123" s="1790"/>
    </row>
    <row r="124" spans="1:30" ht="35.25" customHeight="1" thickBot="1" x14ac:dyDescent="0.4">
      <c r="A124" s="3185" t="s">
        <v>974</v>
      </c>
      <c r="B124" s="3186"/>
      <c r="C124" s="3187"/>
      <c r="D124" s="3188" t="s">
        <v>1155</v>
      </c>
      <c r="E124" s="3189"/>
      <c r="F124" s="3189"/>
      <c r="G124" s="3189"/>
      <c r="H124" s="3189"/>
      <c r="I124" s="3189"/>
      <c r="J124" s="3190"/>
      <c r="K124" s="3227">
        <v>0</v>
      </c>
      <c r="L124" s="3228"/>
      <c r="M124" s="2401"/>
      <c r="N124" s="2401"/>
      <c r="O124" s="2401"/>
      <c r="P124" s="2401"/>
      <c r="Q124" s="2864"/>
      <c r="R124" s="2870"/>
      <c r="S124" s="2871"/>
      <c r="T124" s="2870"/>
      <c r="U124" s="2871"/>
      <c r="V124" s="2869">
        <v>0</v>
      </c>
      <c r="W124" s="2869">
        <v>0</v>
      </c>
      <c r="X124" s="1791"/>
      <c r="Y124" s="1790"/>
      <c r="Z124" s="1790"/>
    </row>
    <row r="125" spans="1:30" ht="36.75" customHeight="1" thickBot="1" x14ac:dyDescent="0.4">
      <c r="A125" s="3185" t="s">
        <v>973</v>
      </c>
      <c r="B125" s="3186"/>
      <c r="C125" s="3187"/>
      <c r="D125" s="3188" t="s">
        <v>736</v>
      </c>
      <c r="E125" s="3199"/>
      <c r="F125" s="3199"/>
      <c r="G125" s="3199"/>
      <c r="H125" s="3199"/>
      <c r="I125" s="3199"/>
      <c r="J125" s="3200"/>
      <c r="K125" s="3227">
        <f>814.8+77.2</f>
        <v>892</v>
      </c>
      <c r="L125" s="3228"/>
      <c r="M125" s="2401">
        <v>485.56200000000001</v>
      </c>
      <c r="N125" s="2401"/>
      <c r="O125" s="2401"/>
      <c r="P125" s="2401">
        <v>485.56200000000001</v>
      </c>
      <c r="Q125" s="2864">
        <v>485.56200000000001</v>
      </c>
      <c r="R125" s="3229"/>
      <c r="S125" s="3230"/>
      <c r="T125" s="3229"/>
      <c r="U125" s="3230"/>
      <c r="V125" s="2869">
        <f>857.3+34.7</f>
        <v>892</v>
      </c>
      <c r="W125" s="2869">
        <v>892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3185" t="s">
        <v>972</v>
      </c>
      <c r="B126" s="3186"/>
      <c r="C126" s="3187"/>
      <c r="D126" s="3188" t="s">
        <v>889</v>
      </c>
      <c r="E126" s="3199"/>
      <c r="F126" s="3199"/>
      <c r="G126" s="3199"/>
      <c r="H126" s="3199"/>
      <c r="I126" s="3199"/>
      <c r="J126" s="3200"/>
      <c r="K126" s="3227">
        <f>7.1-0.06</f>
        <v>7.04</v>
      </c>
      <c r="L126" s="3228"/>
      <c r="M126" s="2401">
        <v>10</v>
      </c>
      <c r="N126" s="2401"/>
      <c r="O126" s="2401"/>
      <c r="P126" s="2401">
        <v>10</v>
      </c>
      <c r="Q126" s="2864">
        <v>10</v>
      </c>
      <c r="R126" s="3229">
        <v>598.5</v>
      </c>
      <c r="S126" s="3230"/>
      <c r="T126" s="3229">
        <v>598.5</v>
      </c>
      <c r="U126" s="3230"/>
      <c r="V126" s="2869">
        <f>7.1-0.06</f>
        <v>7.04</v>
      </c>
      <c r="W126" s="2869">
        <f>7.1-0.06</f>
        <v>7.04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3185" t="s">
        <v>1098</v>
      </c>
      <c r="B127" s="3186"/>
      <c r="C127" s="3187"/>
      <c r="D127" s="3188" t="s">
        <v>1099</v>
      </c>
      <c r="E127" s="3199"/>
      <c r="F127" s="3199"/>
      <c r="G127" s="3199"/>
      <c r="H127" s="3199"/>
      <c r="I127" s="3199"/>
      <c r="J127" s="3200"/>
      <c r="K127" s="3216"/>
      <c r="L127" s="3217"/>
      <c r="M127" s="2884">
        <v>613</v>
      </c>
      <c r="N127" s="2884"/>
      <c r="O127" s="2884"/>
      <c r="P127" s="2884">
        <v>613</v>
      </c>
      <c r="Q127" s="2862">
        <v>613</v>
      </c>
      <c r="R127" s="3218"/>
      <c r="S127" s="3219"/>
      <c r="T127" s="3218"/>
      <c r="U127" s="3219"/>
      <c r="V127" s="2866"/>
      <c r="W127" s="2866"/>
      <c r="AB127" s="547">
        <v>122</v>
      </c>
    </row>
    <row r="128" spans="1:30" ht="33" hidden="1" customHeight="1" thickBot="1" x14ac:dyDescent="0.4">
      <c r="A128" s="3185" t="s">
        <v>1152</v>
      </c>
      <c r="B128" s="3186"/>
      <c r="C128" s="3187"/>
      <c r="D128" s="3188" t="s">
        <v>1153</v>
      </c>
      <c r="E128" s="3189"/>
      <c r="F128" s="3189"/>
      <c r="G128" s="3189"/>
      <c r="H128" s="3189"/>
      <c r="I128" s="3189"/>
      <c r="J128" s="3190"/>
      <c r="K128" s="3216"/>
      <c r="L128" s="3217"/>
      <c r="M128" s="2884"/>
      <c r="N128" s="2884"/>
      <c r="O128" s="2884"/>
      <c r="P128" s="2884"/>
      <c r="Q128" s="2862"/>
      <c r="R128" s="2867"/>
      <c r="S128" s="2868"/>
      <c r="T128" s="2867"/>
      <c r="U128" s="2868"/>
      <c r="V128" s="2866"/>
      <c r="W128" s="2866"/>
    </row>
    <row r="129" spans="1:32" ht="30.65" hidden="1" customHeight="1" thickBot="1" x14ac:dyDescent="0.4">
      <c r="A129" s="3185" t="s">
        <v>1121</v>
      </c>
      <c r="B129" s="3186"/>
      <c r="C129" s="3187"/>
      <c r="D129" s="3432" t="s">
        <v>1122</v>
      </c>
      <c r="E129" s="3082"/>
      <c r="F129" s="3082"/>
      <c r="G129" s="3082"/>
      <c r="H129" s="3082"/>
      <c r="I129" s="3082"/>
      <c r="J129" s="3083"/>
      <c r="K129" s="3216">
        <v>0</v>
      </c>
      <c r="L129" s="3217"/>
      <c r="M129" s="2884"/>
      <c r="N129" s="2884"/>
      <c r="O129" s="2884"/>
      <c r="P129" s="2884"/>
      <c r="Q129" s="2862"/>
      <c r="R129" s="3218"/>
      <c r="S129" s="3219"/>
      <c r="T129" s="3218"/>
      <c r="U129" s="3219"/>
      <c r="V129" s="2866">
        <v>0</v>
      </c>
      <c r="W129" s="2866">
        <v>0</v>
      </c>
    </row>
    <row r="130" spans="1:32" ht="34.5" hidden="1" customHeight="1" thickBot="1" x14ac:dyDescent="0.4">
      <c r="A130" s="3185" t="s">
        <v>1119</v>
      </c>
      <c r="B130" s="3186"/>
      <c r="C130" s="3187"/>
      <c r="D130" s="3231" t="s">
        <v>1120</v>
      </c>
      <c r="E130" s="3232"/>
      <c r="F130" s="3232"/>
      <c r="G130" s="3232"/>
      <c r="H130" s="3232"/>
      <c r="I130" s="3232"/>
      <c r="J130" s="3233"/>
      <c r="K130" s="3269">
        <v>0</v>
      </c>
      <c r="L130" s="3270"/>
      <c r="M130" s="2884">
        <v>965</v>
      </c>
      <c r="N130" s="2884">
        <v>20</v>
      </c>
      <c r="O130" s="2884">
        <v>20</v>
      </c>
      <c r="P130" s="2884">
        <f>M130+N130+O130</f>
        <v>1005</v>
      </c>
      <c r="Q130" s="2862">
        <v>1222.22</v>
      </c>
      <c r="R130" s="3441">
        <v>212</v>
      </c>
      <c r="S130" s="3442"/>
      <c r="T130" s="3441">
        <v>220</v>
      </c>
      <c r="U130" s="3442"/>
      <c r="V130" s="2873">
        <v>0</v>
      </c>
      <c r="W130" s="2873">
        <v>0</v>
      </c>
      <c r="AF130" s="2217"/>
    </row>
    <row r="131" spans="1:32" ht="12.75" customHeight="1" x14ac:dyDescent="0.35">
      <c r="A131" s="3443" t="s">
        <v>744</v>
      </c>
      <c r="B131" s="3444"/>
      <c r="C131" s="3445"/>
      <c r="D131" s="982"/>
      <c r="E131" s="983"/>
      <c r="F131" s="983"/>
      <c r="G131" s="983"/>
      <c r="H131" s="983"/>
      <c r="I131" s="983"/>
      <c r="J131" s="984"/>
      <c r="K131" s="3391">
        <f>K108+K38</f>
        <v>127108.5824</v>
      </c>
      <c r="L131" s="3392"/>
      <c r="M131" s="3439">
        <v>25719.42</v>
      </c>
      <c r="N131" s="3439"/>
      <c r="O131" s="3439"/>
      <c r="P131" s="3437">
        <f>P38+P108</f>
        <v>32956.455999999998</v>
      </c>
      <c r="Q131" s="3439"/>
      <c r="R131" s="3193">
        <f>R38+R108</f>
        <v>74385.700000000012</v>
      </c>
      <c r="S131" s="3194"/>
      <c r="T131" s="3193">
        <f>T38+T108</f>
        <v>76457.200000000012</v>
      </c>
      <c r="U131" s="3194"/>
      <c r="V131" s="3392">
        <f>V108+V38</f>
        <v>136900.41244000001</v>
      </c>
      <c r="W131" s="3392">
        <f>W108+W38</f>
        <v>111774.84</v>
      </c>
    </row>
    <row r="132" spans="1:32" ht="16.5" customHeight="1" thickBot="1" x14ac:dyDescent="0.4">
      <c r="A132" s="3446"/>
      <c r="B132" s="3447"/>
      <c r="C132" s="3448"/>
      <c r="D132" s="979"/>
      <c r="E132" s="980"/>
      <c r="F132" s="980"/>
      <c r="G132" s="986"/>
      <c r="H132" s="986"/>
      <c r="I132" s="986"/>
      <c r="J132" s="987"/>
      <c r="K132" s="3393"/>
      <c r="L132" s="3394"/>
      <c r="M132" s="3440"/>
      <c r="N132" s="3440"/>
      <c r="O132" s="3440"/>
      <c r="P132" s="3438"/>
      <c r="Q132" s="3440"/>
      <c r="R132" s="3197"/>
      <c r="S132" s="3198"/>
      <c r="T132" s="3197"/>
      <c r="U132" s="3198"/>
      <c r="V132" s="3394"/>
      <c r="W132" s="3394"/>
    </row>
    <row r="133" spans="1:32" x14ac:dyDescent="0.35">
      <c r="K133" s="447"/>
      <c r="L133" s="447"/>
      <c r="N133" s="2215">
        <f>SUM(N38:N132)</f>
        <v>3863.518</v>
      </c>
      <c r="O133" s="2215">
        <f>SUM(O38:O132)</f>
        <v>3863.518</v>
      </c>
      <c r="P133" s="2215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J135" s="2885"/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J137" s="2885"/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J139" s="2973"/>
      <c r="V139" s="2229"/>
    </row>
    <row r="141" spans="1:32" x14ac:dyDescent="0.35">
      <c r="J141" s="2974"/>
    </row>
  </sheetData>
  <mergeCells count="404">
    <mergeCell ref="U19:W19"/>
    <mergeCell ref="K20:W20"/>
    <mergeCell ref="K21:W21"/>
    <mergeCell ref="K22:X22"/>
    <mergeCell ref="A30:W30"/>
    <mergeCell ref="A31:W31"/>
    <mergeCell ref="K12:X12"/>
    <mergeCell ref="K13:X13"/>
    <mergeCell ref="K14:X14"/>
    <mergeCell ref="K15:X15"/>
    <mergeCell ref="K16:X16"/>
    <mergeCell ref="U18:W18"/>
    <mergeCell ref="A32:L32"/>
    <mergeCell ref="A33:W33"/>
    <mergeCell ref="K34:L34"/>
    <mergeCell ref="R34:S34"/>
    <mergeCell ref="T34:U34"/>
    <mergeCell ref="A35:C35"/>
    <mergeCell ref="D35:J36"/>
    <mergeCell ref="K35:L36"/>
    <mergeCell ref="M35:M36"/>
    <mergeCell ref="N35:N36"/>
    <mergeCell ref="W35:W36"/>
    <mergeCell ref="A36:C36"/>
    <mergeCell ref="V35:V36"/>
    <mergeCell ref="K37:L37"/>
    <mergeCell ref="R37:S37"/>
    <mergeCell ref="T37:U37"/>
    <mergeCell ref="A38:C39"/>
    <mergeCell ref="D38:J39"/>
    <mergeCell ref="K38:L39"/>
    <mergeCell ref="M38:M39"/>
    <mergeCell ref="N38:N39"/>
    <mergeCell ref="O35:O36"/>
    <mergeCell ref="P35:P36"/>
    <mergeCell ref="Q35:Q36"/>
    <mergeCell ref="R35:S36"/>
    <mergeCell ref="T35:U36"/>
    <mergeCell ref="W38:W39"/>
    <mergeCell ref="D40:J41"/>
    <mergeCell ref="K40:L41"/>
    <mergeCell ref="M40:M41"/>
    <mergeCell ref="N40:N41"/>
    <mergeCell ref="O40:O41"/>
    <mergeCell ref="P40:P41"/>
    <mergeCell ref="Q40:Q41"/>
    <mergeCell ref="R40:S41"/>
    <mergeCell ref="T40:U41"/>
    <mergeCell ref="O38:O39"/>
    <mergeCell ref="P38:P39"/>
    <mergeCell ref="Q38:Q39"/>
    <mergeCell ref="R38:S39"/>
    <mergeCell ref="T38:U39"/>
    <mergeCell ref="V38:V39"/>
    <mergeCell ref="V40:V41"/>
    <mergeCell ref="W40:W41"/>
    <mergeCell ref="V42:V43"/>
    <mergeCell ref="W42:W43"/>
    <mergeCell ref="A44:C45"/>
    <mergeCell ref="D44:J45"/>
    <mergeCell ref="K44:L45"/>
    <mergeCell ref="M44:M45"/>
    <mergeCell ref="N44:N45"/>
    <mergeCell ref="O44:O45"/>
    <mergeCell ref="P44:P45"/>
    <mergeCell ref="Q44:Q45"/>
    <mergeCell ref="R44:S45"/>
    <mergeCell ref="T44:U45"/>
    <mergeCell ref="V44:V45"/>
    <mergeCell ref="W44:W45"/>
    <mergeCell ref="A42:C43"/>
    <mergeCell ref="K42:L43"/>
    <mergeCell ref="M42:M43"/>
    <mergeCell ref="N42:N43"/>
    <mergeCell ref="O42:O43"/>
    <mergeCell ref="P42:P43"/>
    <mergeCell ref="Q42:Q43"/>
    <mergeCell ref="R42:S43"/>
    <mergeCell ref="T42:U43"/>
    <mergeCell ref="A46:C46"/>
    <mergeCell ref="D46:J46"/>
    <mergeCell ref="K46:L46"/>
    <mergeCell ref="R46:S46"/>
    <mergeCell ref="T46:U46"/>
    <mergeCell ref="P47:P48"/>
    <mergeCell ref="Q47:Q48"/>
    <mergeCell ref="R47:S48"/>
    <mergeCell ref="T47:U48"/>
    <mergeCell ref="W51:W52"/>
    <mergeCell ref="A54:C54"/>
    <mergeCell ref="K54:L54"/>
    <mergeCell ref="R54:S54"/>
    <mergeCell ref="T54:U54"/>
    <mergeCell ref="V51:V52"/>
    <mergeCell ref="V47:V48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D70:J73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V88:V89"/>
    <mergeCell ref="W88:W89"/>
    <mergeCell ref="A90:C90"/>
    <mergeCell ref="D90:J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A106:C107"/>
    <mergeCell ref="K106:L107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Q106:Q107"/>
    <mergeCell ref="R106:S107"/>
    <mergeCell ref="T106:U107"/>
    <mergeCell ref="V106:V107"/>
    <mergeCell ref="W106:W107"/>
    <mergeCell ref="Q104:Q105"/>
    <mergeCell ref="R104:S105"/>
    <mergeCell ref="T104:U105"/>
    <mergeCell ref="V104:V105"/>
    <mergeCell ref="W104:W105"/>
    <mergeCell ref="P104:P105"/>
    <mergeCell ref="V108:V110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2:C112"/>
    <mergeCell ref="D112:J112"/>
    <mergeCell ref="K112:L112"/>
    <mergeCell ref="A113:C113"/>
    <mergeCell ref="D113:J113"/>
    <mergeCell ref="K113:L113"/>
    <mergeCell ref="Q108:Q109"/>
    <mergeCell ref="R108:S110"/>
    <mergeCell ref="T108:U110"/>
    <mergeCell ref="A116:C116"/>
    <mergeCell ref="D116:J116"/>
    <mergeCell ref="K116:L116"/>
    <mergeCell ref="A117:C117"/>
    <mergeCell ref="D117:J117"/>
    <mergeCell ref="K117:L117"/>
    <mergeCell ref="A114:C114"/>
    <mergeCell ref="D114:J114"/>
    <mergeCell ref="K114:L114"/>
    <mergeCell ref="A115:C115"/>
    <mergeCell ref="D115:J115"/>
    <mergeCell ref="K115:L115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R117:S117"/>
    <mergeCell ref="T117:U117"/>
    <mergeCell ref="A118:C118"/>
    <mergeCell ref="D118:J118"/>
    <mergeCell ref="K118:L118"/>
    <mergeCell ref="A119:C119"/>
    <mergeCell ref="D119:J119"/>
    <mergeCell ref="K119:L119"/>
    <mergeCell ref="R119:S119"/>
    <mergeCell ref="T119:U119"/>
    <mergeCell ref="A124:C124"/>
    <mergeCell ref="D124:J124"/>
    <mergeCell ref="K124:L124"/>
    <mergeCell ref="A125:C125"/>
    <mergeCell ref="D125:J125"/>
    <mergeCell ref="K125:L125"/>
    <mergeCell ref="A122:C122"/>
    <mergeCell ref="D122:J122"/>
    <mergeCell ref="K122:L122"/>
    <mergeCell ref="A123:C123"/>
    <mergeCell ref="D123:J123"/>
    <mergeCell ref="K123:L123"/>
    <mergeCell ref="A127:C127"/>
    <mergeCell ref="D127:J127"/>
    <mergeCell ref="K127:L127"/>
    <mergeCell ref="R127:S127"/>
    <mergeCell ref="T127:U127"/>
    <mergeCell ref="A128:C128"/>
    <mergeCell ref="D128:J128"/>
    <mergeCell ref="K128:L128"/>
    <mergeCell ref="R125:S125"/>
    <mergeCell ref="T125:U125"/>
    <mergeCell ref="A126:C126"/>
    <mergeCell ref="D126:J126"/>
    <mergeCell ref="K126:L126"/>
    <mergeCell ref="R126:S126"/>
    <mergeCell ref="T126:U126"/>
    <mergeCell ref="A129:C129"/>
    <mergeCell ref="D129:J129"/>
    <mergeCell ref="K129:L129"/>
    <mergeCell ref="R129:S129"/>
    <mergeCell ref="T129:U129"/>
    <mergeCell ref="A130:C130"/>
    <mergeCell ref="D130:J130"/>
    <mergeCell ref="K130:L130"/>
    <mergeCell ref="R130:S130"/>
    <mergeCell ref="T130:U130"/>
    <mergeCell ref="Q131:Q132"/>
    <mergeCell ref="R131:S132"/>
    <mergeCell ref="T131:U132"/>
    <mergeCell ref="V131:V132"/>
    <mergeCell ref="W131:W132"/>
    <mergeCell ref="A131:C132"/>
    <mergeCell ref="K131:L132"/>
    <mergeCell ref="M131:M132"/>
    <mergeCell ref="N131:N132"/>
    <mergeCell ref="O131:O132"/>
    <mergeCell ref="P131:P132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48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743"/>
  <sheetViews>
    <sheetView topLeftCell="B1" zoomScale="90" zoomScaleNormal="90" zoomScaleSheetLayoutView="90" zoomScalePageLayoutView="51" workbookViewId="0">
      <selection activeCell="B568" sqref="B568"/>
    </sheetView>
  </sheetViews>
  <sheetFormatPr defaultColWidth="9.1796875" defaultRowHeight="12.5" x14ac:dyDescent="0.25"/>
  <cols>
    <col min="1" max="1" width="8.81640625" style="1" customWidth="1"/>
    <col min="2" max="2" width="65.17968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8" width="22.1796875" style="1906" hidden="1" customWidth="1"/>
    <col min="19" max="21" width="10.26953125" style="2" hidden="1" customWidth="1"/>
    <col min="22" max="23" width="22.1796875" style="1905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27" width="9.1796875" style="1"/>
    <col min="28" max="28" width="14.453125" style="1" customWidth="1"/>
    <col min="29" max="16384" width="9.1796875" style="1"/>
  </cols>
  <sheetData>
    <row r="1" spans="1:256" ht="20.149999999999999" customHeight="1" x14ac:dyDescent="0.35">
      <c r="V1" s="3482" t="s">
        <v>1232</v>
      </c>
      <c r="W1" s="3482"/>
    </row>
    <row r="2" spans="1:256" ht="17.5" customHeight="1" x14ac:dyDescent="0.35">
      <c r="V2" s="3482" t="s">
        <v>450</v>
      </c>
      <c r="W2" s="3482"/>
    </row>
    <row r="3" spans="1:256" ht="16" customHeight="1" x14ac:dyDescent="0.35">
      <c r="V3" s="3482" t="s">
        <v>449</v>
      </c>
      <c r="W3" s="3482"/>
    </row>
    <row r="4" spans="1:256" ht="15.65" customHeight="1" x14ac:dyDescent="0.35">
      <c r="V4" s="3482" t="s">
        <v>448</v>
      </c>
      <c r="W4" s="3482"/>
    </row>
    <row r="5" spans="1:256" ht="17.149999999999999" customHeight="1" x14ac:dyDescent="0.25">
      <c r="V5" s="3328" t="str">
        <f>'прил2 дох 2021-2023'!$K$16</f>
        <v xml:space="preserve">    от  " 22 " сентября  2021 года № 221 </v>
      </c>
      <c r="W5" s="3328"/>
      <c r="X5" s="2843"/>
      <c r="Y5" s="2843"/>
      <c r="Z5" s="2843"/>
      <c r="AA5" s="2843"/>
      <c r="AB5" s="2843"/>
      <c r="AC5" s="2843"/>
      <c r="AD5" s="2843"/>
      <c r="AE5" s="2843"/>
      <c r="AF5" s="2843"/>
      <c r="AG5" s="2843"/>
      <c r="AH5" s="2843"/>
      <c r="AI5" s="2843"/>
    </row>
    <row r="6" spans="1:256" ht="9.65" customHeight="1" x14ac:dyDescent="0.3">
      <c r="V6" s="2289"/>
      <c r="W6" s="2289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413"/>
      <c r="K7" s="2413"/>
      <c r="L7" s="2413"/>
      <c r="M7" s="2413"/>
      <c r="N7" s="1907"/>
      <c r="O7" s="2420"/>
      <c r="P7" s="1909"/>
      <c r="Q7" s="2420"/>
      <c r="R7" s="2420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249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2997"/>
      <c r="J8" s="2997"/>
      <c r="K8" s="2997"/>
      <c r="L8" s="2997"/>
      <c r="M8" s="2997"/>
      <c r="N8" s="2997"/>
      <c r="O8" s="1910"/>
      <c r="P8" s="1909"/>
      <c r="Q8" s="3484" t="s">
        <v>450</v>
      </c>
      <c r="R8" s="3484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249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2997"/>
      <c r="G9" s="2997"/>
      <c r="H9" s="2997"/>
      <c r="I9" s="2997"/>
      <c r="J9" s="2997"/>
      <c r="K9" s="2997"/>
      <c r="L9" s="2997"/>
      <c r="M9" s="2997"/>
      <c r="N9" s="2997"/>
      <c r="O9" s="1909"/>
      <c r="P9" s="1909"/>
      <c r="Q9" s="3484" t="s">
        <v>449</v>
      </c>
      <c r="R9" s="3484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249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413"/>
      <c r="E10" s="2413"/>
      <c r="F10" s="2413"/>
      <c r="G10" s="2413"/>
      <c r="H10" s="2413"/>
      <c r="I10" s="2413"/>
      <c r="J10" s="2413"/>
      <c r="K10" s="1045"/>
      <c r="L10" s="1045"/>
      <c r="M10" s="2413"/>
      <c r="N10" s="1911"/>
      <c r="O10" s="1912"/>
      <c r="P10" s="1909"/>
      <c r="Q10" s="3484" t="s">
        <v>448</v>
      </c>
      <c r="R10" s="3484"/>
      <c r="S10" s="2413"/>
      <c r="T10" s="2413"/>
      <c r="U10" s="2413"/>
      <c r="V10" s="1911"/>
      <c r="W10" s="410" t="s">
        <v>448</v>
      </c>
      <c r="X10" s="1825"/>
      <c r="Y10" s="1825"/>
      <c r="Z10" s="1825"/>
      <c r="AA10" s="1825"/>
      <c r="AB10" s="1825"/>
      <c r="AC10" s="2249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3258"/>
      <c r="H11" s="3258"/>
      <c r="I11" s="3258"/>
      <c r="J11" s="3258"/>
      <c r="K11" s="3258"/>
      <c r="L11" s="3258"/>
      <c r="M11" s="3258"/>
      <c r="N11" s="3258"/>
      <c r="O11" s="1913"/>
      <c r="P11" s="1913"/>
      <c r="Q11" s="3483" t="s">
        <v>991</v>
      </c>
      <c r="R11" s="3483"/>
      <c r="S11" s="2415"/>
      <c r="T11" s="2415"/>
      <c r="U11" s="1824"/>
      <c r="V11" s="1824"/>
      <c r="W11" s="2921" t="s">
        <v>1223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415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419"/>
      <c r="P13" s="2419"/>
      <c r="Q13" s="2419" t="s">
        <v>446</v>
      </c>
      <c r="R13" s="2419" t="s">
        <v>446</v>
      </c>
      <c r="S13" s="254"/>
      <c r="T13" s="254"/>
      <c r="U13" s="2415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415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419"/>
      <c r="P15" s="2419"/>
      <c r="Q15" s="2419" t="s">
        <v>848</v>
      </c>
      <c r="R15" s="2419" t="s">
        <v>848</v>
      </c>
      <c r="S15" s="254"/>
      <c r="T15" s="254"/>
      <c r="U15" s="2415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3" hidden="1" customHeight="1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65" hidden="1" customHeight="1" x14ac:dyDescent="0.3">
      <c r="B18" s="3488"/>
      <c r="C18" s="3488"/>
      <c r="D18" s="3488"/>
      <c r="E18" s="3488"/>
      <c r="F18" s="3488"/>
      <c r="G18" s="3488"/>
      <c r="H18" s="3488"/>
      <c r="I18" s="3488"/>
      <c r="J18" s="3488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5" customHeight="1" x14ac:dyDescent="0.3">
      <c r="A19" s="3489" t="s">
        <v>441</v>
      </c>
      <c r="B19" s="3489"/>
      <c r="C19" s="3489"/>
      <c r="D19" s="3489"/>
      <c r="E19" s="3489"/>
      <c r="F19" s="3489"/>
      <c r="G19" s="3489"/>
      <c r="H19" s="3489"/>
      <c r="I19" s="3489"/>
      <c r="J19" s="3489"/>
      <c r="K19" s="3489"/>
      <c r="L19" s="3489"/>
      <c r="M19" s="3489"/>
      <c r="N19" s="3489"/>
      <c r="O19" s="3489"/>
      <c r="P19" s="3489"/>
      <c r="Q19" s="3489"/>
      <c r="R19" s="3489"/>
      <c r="V19" s="2"/>
      <c r="W19" s="2"/>
    </row>
    <row r="20" spans="1:26" ht="17.5" customHeight="1" x14ac:dyDescent="0.3">
      <c r="A20" s="3490" t="s">
        <v>440</v>
      </c>
      <c r="B20" s="3490"/>
      <c r="C20" s="3490"/>
      <c r="D20" s="3490"/>
      <c r="E20" s="3490"/>
      <c r="F20" s="3490"/>
      <c r="G20" s="3490"/>
      <c r="H20" s="3490"/>
      <c r="I20" s="3490"/>
      <c r="J20" s="3490"/>
      <c r="K20" s="3490"/>
      <c r="L20" s="3490"/>
      <c r="M20" s="3490"/>
      <c r="N20" s="3490"/>
      <c r="O20" s="3490"/>
      <c r="P20" s="3490"/>
      <c r="Q20" s="3490"/>
      <c r="R20" s="3490"/>
      <c r="V20" s="2"/>
      <c r="W20" s="2"/>
    </row>
    <row r="21" spans="1:26" ht="15" customHeight="1" x14ac:dyDescent="0.3">
      <c r="A21" s="3489" t="s">
        <v>439</v>
      </c>
      <c r="B21" s="3489"/>
      <c r="C21" s="3489"/>
      <c r="D21" s="3489"/>
      <c r="E21" s="3489"/>
      <c r="F21" s="3489"/>
      <c r="G21" s="3489"/>
      <c r="H21" s="3489"/>
      <c r="I21" s="3489"/>
      <c r="J21" s="3489"/>
      <c r="K21" s="3489"/>
      <c r="L21" s="3489"/>
      <c r="M21" s="3489"/>
      <c r="N21" s="3489"/>
      <c r="O21" s="3489"/>
      <c r="P21" s="3489"/>
      <c r="Q21" s="3489"/>
      <c r="R21" s="3489"/>
      <c r="V21" s="2"/>
      <c r="W21" s="2"/>
    </row>
    <row r="22" spans="1:26" ht="13.5" customHeight="1" x14ac:dyDescent="0.3">
      <c r="A22" s="3489" t="s">
        <v>438</v>
      </c>
      <c r="B22" s="3489"/>
      <c r="C22" s="3489"/>
      <c r="D22" s="3489"/>
      <c r="E22" s="3489"/>
      <c r="F22" s="3489"/>
      <c r="G22" s="3489"/>
      <c r="H22" s="3489"/>
      <c r="I22" s="3489"/>
      <c r="J22" s="3489"/>
      <c r="K22" s="3489"/>
      <c r="L22" s="3489"/>
      <c r="M22" s="3489"/>
      <c r="N22" s="3489"/>
      <c r="O22" s="3489"/>
      <c r="P22" s="3489"/>
      <c r="Q22" s="3489"/>
      <c r="R22" s="3489"/>
      <c r="V22" s="2"/>
      <c r="W22" s="2"/>
    </row>
    <row r="23" spans="1:26" ht="16.149999999999999" customHeight="1" x14ac:dyDescent="0.3">
      <c r="A23" s="3489" t="s">
        <v>1196</v>
      </c>
      <c r="B23" s="3489"/>
      <c r="C23" s="3489"/>
      <c r="D23" s="3489"/>
      <c r="E23" s="3489"/>
      <c r="F23" s="3489"/>
      <c r="G23" s="3489"/>
      <c r="H23" s="3489"/>
      <c r="I23" s="3489"/>
      <c r="J23" s="3489"/>
      <c r="K23" s="3489"/>
      <c r="L23" s="3489"/>
      <c r="M23" s="3489"/>
      <c r="N23" s="3489"/>
      <c r="O23" s="3489"/>
      <c r="P23" s="3489"/>
      <c r="Q23" s="3489"/>
      <c r="R23" s="3489"/>
      <c r="V23" s="2"/>
      <c r="W23" s="2"/>
    </row>
    <row r="24" spans="1:26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78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65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3491" t="s">
        <v>20</v>
      </c>
      <c r="H133" s="3492"/>
      <c r="I133" s="3492"/>
      <c r="J133" s="3493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3485" t="s">
        <v>17</v>
      </c>
      <c r="H134" s="3486"/>
      <c r="I134" s="3486"/>
      <c r="J134" s="3487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899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997</v>
      </c>
      <c r="W194" s="1967" t="s">
        <v>1197</v>
      </c>
      <c r="X194" s="2082">
        <f>X195-N195</f>
        <v>-20451.330070000025</v>
      </c>
      <c r="Y194" s="2220">
        <f>Y195-V195</f>
        <v>-29880.526440000001</v>
      </c>
      <c r="Z194" s="237">
        <f>Z195-W195</f>
        <v>-4484.0750000000116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J196+J473</f>
        <v>72325.900000000009</v>
      </c>
      <c r="K195" s="1083"/>
      <c r="L195" s="1084">
        <f t="shared" ref="L195:R195" si="136">L196+L473</f>
        <v>70391</v>
      </c>
      <c r="M195" s="1548">
        <f t="shared" si="136"/>
        <v>70022.100000000006</v>
      </c>
      <c r="N195" s="2474">
        <f t="shared" si="136"/>
        <v>127454.38307000003</v>
      </c>
      <c r="O195" s="2475">
        <f t="shared" si="136"/>
        <v>75112.899000000005</v>
      </c>
      <c r="P195" s="2476">
        <f t="shared" si="136"/>
        <v>75716.578999999998</v>
      </c>
      <c r="Q195" s="2477">
        <f t="shared" si="136"/>
        <v>90967.686999999991</v>
      </c>
      <c r="R195" s="2478">
        <f t="shared" si="136"/>
        <v>92889.06</v>
      </c>
      <c r="S195" s="1972"/>
      <c r="T195" s="1972"/>
      <c r="U195" s="1972"/>
      <c r="V195" s="2474">
        <f>V196+V473</f>
        <v>133697.11244</v>
      </c>
      <c r="W195" s="2474">
        <f>W196+W473</f>
        <v>106949.63</v>
      </c>
      <c r="X195" s="2218">
        <v>107003.053</v>
      </c>
      <c r="Y195" s="2219">
        <v>103816.586</v>
      </c>
      <c r="Z195" s="2219">
        <v>102465.55499999999</v>
      </c>
      <c r="AA195" s="1"/>
      <c r="AB195" s="1857">
        <f>N195-127454.38307</f>
        <v>0</v>
      </c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J197+J216+J228+J275+J298+J327+J342+J432</f>
        <v>25287.312000000002</v>
      </c>
      <c r="K196" s="1083"/>
      <c r="L196" s="1084">
        <f>L197+L216+L228+L275+L298+L327+L342+L432</f>
        <v>42242.735000000001</v>
      </c>
      <c r="M196" s="1548">
        <f>M197+M216+M228+M275+M298+M327+M342+M432</f>
        <v>40917.551999999996</v>
      </c>
      <c r="N196" s="2474">
        <f>N197+N216+N228+N275+N298+N327+N342+N358+N397+N412+N418+N442+N456</f>
        <v>83145.057110000023</v>
      </c>
      <c r="O196" s="2479">
        <f>O432+O358+O342+O327+O298+O275+O228+O216+O197</f>
        <v>52691.074000000001</v>
      </c>
      <c r="P196" s="2479">
        <f>P432+P358+P342+P327+P298+P275+P228+P216+P197</f>
        <v>51839.148999999998</v>
      </c>
      <c r="Q196" s="2480">
        <f>Q432+Q358+Q342+Q327+Q298+Q275+Q228+Q216+Q197+Q373+Q418</f>
        <v>60949.109999999993</v>
      </c>
      <c r="R196" s="2478">
        <f>R432+R358+R342+R327+R298+R275+R228+R216+R197+R373+R418</f>
        <v>62699.311000000002</v>
      </c>
      <c r="S196" s="1972"/>
      <c r="T196" s="1972"/>
      <c r="U196" s="1972"/>
      <c r="V196" s="2474">
        <f>V210+V227+V236+V240+V256+V259+V262+V267+V274+V285+V290+V297+V309+V317+V326+V341+V347+V352+V357+V372+V396+V404+V411+V417+V447+V462+V313+V456+V418+V337</f>
        <v>104395.95610000001</v>
      </c>
      <c r="W196" s="2474">
        <f>W210+W227+W236+W240+W256+W259+W262+W267+W274+W285+W290+W297+W309+W317+W326+W341+W347+W352+W357+W372+W396+W404+W411+W417+W447+W462+W423</f>
        <v>62042.556500000006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2481">
        <f>N205</f>
        <v>700</v>
      </c>
      <c r="O197" s="2482">
        <f t="shared" si="137"/>
        <v>450</v>
      </c>
      <c r="P197" s="2482">
        <f t="shared" si="137"/>
        <v>500</v>
      </c>
      <c r="Q197" s="2483">
        <f t="shared" si="137"/>
        <v>650</v>
      </c>
      <c r="R197" s="2484">
        <f t="shared" si="137"/>
        <v>700</v>
      </c>
      <c r="S197" s="1972"/>
      <c r="T197" s="1972"/>
      <c r="U197" s="1972"/>
      <c r="V197" s="2515">
        <f>V205</f>
        <v>0</v>
      </c>
      <c r="W197" s="2481">
        <f>W205</f>
        <v>800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2389"/>
      <c r="O198" s="2485"/>
      <c r="P198" s="2486"/>
      <c r="Q198" s="2487"/>
      <c r="R198" s="2488"/>
      <c r="S198" s="1972"/>
      <c r="T198" s="1972"/>
      <c r="U198" s="1972"/>
      <c r="V198" s="2540"/>
      <c r="W198" s="2389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2389"/>
      <c r="O199" s="2485"/>
      <c r="P199" s="2486"/>
      <c r="Q199" s="2487"/>
      <c r="R199" s="2488"/>
      <c r="S199" s="1972"/>
      <c r="T199" s="1972"/>
      <c r="U199" s="1972"/>
      <c r="V199" s="2540"/>
      <c r="W199" s="2389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2489">
        <f t="shared" si="138"/>
        <v>0</v>
      </c>
      <c r="O200" s="2490">
        <f t="shared" si="138"/>
        <v>0</v>
      </c>
      <c r="P200" s="2491">
        <f t="shared" si="138"/>
        <v>0</v>
      </c>
      <c r="Q200" s="2492">
        <f t="shared" si="138"/>
        <v>0</v>
      </c>
      <c r="R200" s="2493">
        <f t="shared" si="138"/>
        <v>0</v>
      </c>
      <c r="S200" s="2494"/>
      <c r="T200" s="2494"/>
      <c r="U200" s="1972"/>
      <c r="V200" s="2598">
        <f t="shared" ref="V200:W201" si="139">V201</f>
        <v>0</v>
      </c>
      <c r="W200" s="2489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2389">
        <f t="shared" si="138"/>
        <v>0</v>
      </c>
      <c r="O201" s="2485">
        <f t="shared" si="138"/>
        <v>0</v>
      </c>
      <c r="P201" s="2486">
        <f t="shared" si="138"/>
        <v>0</v>
      </c>
      <c r="Q201" s="2487">
        <f t="shared" si="138"/>
        <v>0</v>
      </c>
      <c r="R201" s="2488">
        <f t="shared" si="138"/>
        <v>0</v>
      </c>
      <c r="S201" s="2494"/>
      <c r="T201" s="2494"/>
      <c r="U201" s="1972"/>
      <c r="V201" s="2540">
        <f t="shared" si="139"/>
        <v>0</v>
      </c>
      <c r="W201" s="2389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2389">
        <f>N204</f>
        <v>0</v>
      </c>
      <c r="O202" s="2485">
        <f>O204</f>
        <v>0</v>
      </c>
      <c r="P202" s="2486">
        <f>P204</f>
        <v>0</v>
      </c>
      <c r="Q202" s="2487">
        <f>Q204</f>
        <v>0</v>
      </c>
      <c r="R202" s="2488">
        <f>R204</f>
        <v>0</v>
      </c>
      <c r="S202" s="2494"/>
      <c r="T202" s="2494"/>
      <c r="U202" s="1972"/>
      <c r="V202" s="2540">
        <f>V204</f>
        <v>0</v>
      </c>
      <c r="W202" s="2389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2389"/>
      <c r="O203" s="2485"/>
      <c r="P203" s="2486"/>
      <c r="Q203" s="2487"/>
      <c r="R203" s="2488"/>
      <c r="S203" s="2494"/>
      <c r="T203" s="2494"/>
      <c r="U203" s="1972"/>
      <c r="V203" s="2540"/>
      <c r="W203" s="2389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2389"/>
      <c r="O204" s="2485"/>
      <c r="P204" s="2486"/>
      <c r="Q204" s="2487"/>
      <c r="R204" s="2488"/>
      <c r="S204" s="2494"/>
      <c r="T204" s="2494"/>
      <c r="U204" s="1972"/>
      <c r="V204" s="2540"/>
      <c r="W204" s="2389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9" x14ac:dyDescent="0.3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2481">
        <f>N206+N211</f>
        <v>700</v>
      </c>
      <c r="O205" s="2495">
        <f t="shared" si="140"/>
        <v>450</v>
      </c>
      <c r="P205" s="2496">
        <f t="shared" si="140"/>
        <v>500</v>
      </c>
      <c r="Q205" s="2497">
        <f t="shared" si="140"/>
        <v>650</v>
      </c>
      <c r="R205" s="2484">
        <f t="shared" si="140"/>
        <v>700</v>
      </c>
      <c r="S205" s="2494"/>
      <c r="T205" s="2494"/>
      <c r="U205" s="1972"/>
      <c r="V205" s="2515">
        <f t="shared" ref="V205:W205" si="141">V206+V211</f>
        <v>0</v>
      </c>
      <c r="W205" s="2481">
        <f t="shared" si="141"/>
        <v>800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" x14ac:dyDescent="0.25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2389">
        <f>N207</f>
        <v>700</v>
      </c>
      <c r="O206" s="2485">
        <f t="shared" ref="O206:R207" si="142">O209</f>
        <v>450</v>
      </c>
      <c r="P206" s="2486">
        <f t="shared" si="142"/>
        <v>500</v>
      </c>
      <c r="Q206" s="2487">
        <f t="shared" si="142"/>
        <v>650</v>
      </c>
      <c r="R206" s="2488">
        <f t="shared" si="142"/>
        <v>700</v>
      </c>
      <c r="S206" s="1972"/>
      <c r="T206" s="1972"/>
      <c r="U206" s="1972"/>
      <c r="V206" s="2540">
        <f t="shared" ref="V206:W209" si="143">V207</f>
        <v>0</v>
      </c>
      <c r="W206" s="2389">
        <f t="shared" si="143"/>
        <v>800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2389">
        <f>N209</f>
        <v>700</v>
      </c>
      <c r="O207" s="2485">
        <f t="shared" si="142"/>
        <v>450</v>
      </c>
      <c r="P207" s="2486">
        <f t="shared" si="142"/>
        <v>500</v>
      </c>
      <c r="Q207" s="2487">
        <f t="shared" si="142"/>
        <v>650</v>
      </c>
      <c r="R207" s="2488">
        <f t="shared" si="142"/>
        <v>700</v>
      </c>
      <c r="S207" s="1972"/>
      <c r="T207" s="1972"/>
      <c r="U207" s="1972"/>
      <c r="V207" s="2540">
        <f>V209</f>
        <v>0</v>
      </c>
      <c r="W207" s="2389">
        <f>W209</f>
        <v>800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2389">
        <f>N209</f>
        <v>700</v>
      </c>
      <c r="O208" s="2485"/>
      <c r="P208" s="2486"/>
      <c r="Q208" s="2487"/>
      <c r="R208" s="2488"/>
      <c r="S208" s="1972"/>
      <c r="T208" s="1972"/>
      <c r="U208" s="1972"/>
      <c r="V208" s="2540">
        <f>V209</f>
        <v>0</v>
      </c>
      <c r="W208" s="2389">
        <f>W209</f>
        <v>800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2389">
        <f>N210</f>
        <v>700</v>
      </c>
      <c r="O209" s="2485">
        <f>O210</f>
        <v>450</v>
      </c>
      <c r="P209" s="2486">
        <f>P210</f>
        <v>500</v>
      </c>
      <c r="Q209" s="2487">
        <f>Q210</f>
        <v>650</v>
      </c>
      <c r="R209" s="2488">
        <f>R210</f>
        <v>700</v>
      </c>
      <c r="S209" s="1972"/>
      <c r="T209" s="1972"/>
      <c r="U209" s="1972"/>
      <c r="V209" s="2540">
        <f t="shared" si="143"/>
        <v>0</v>
      </c>
      <c r="W209" s="2389">
        <f t="shared" si="143"/>
        <v>800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2389">
        <v>700</v>
      </c>
      <c r="O210" s="2485">
        <v>450</v>
      </c>
      <c r="P210" s="2486">
        <v>500</v>
      </c>
      <c r="Q210" s="2487">
        <v>650</v>
      </c>
      <c r="R210" s="2488">
        <v>700</v>
      </c>
      <c r="S210" s="1972"/>
      <c r="T210" s="1972"/>
      <c r="U210" s="1972"/>
      <c r="V210" s="2540">
        <f>750-750</f>
        <v>0</v>
      </c>
      <c r="W210" s="2389">
        <v>800</v>
      </c>
    </row>
    <row r="211" spans="1:256" ht="41.15" hidden="1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389">
        <f>N212</f>
        <v>0</v>
      </c>
      <c r="O211" s="2485"/>
      <c r="P211" s="2486"/>
      <c r="Q211" s="2487"/>
      <c r="R211" s="2488"/>
      <c r="S211" s="1972"/>
      <c r="T211" s="1972"/>
      <c r="U211" s="1972"/>
      <c r="V211" s="2389">
        <f t="shared" ref="V211:W214" si="144">V212</f>
        <v>0</v>
      </c>
      <c r="W211" s="2389">
        <f t="shared" si="144"/>
        <v>0</v>
      </c>
    </row>
    <row r="212" spans="1:256" ht="13.9" hidden="1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389">
        <f>N214</f>
        <v>0</v>
      </c>
      <c r="O212" s="2485"/>
      <c r="P212" s="2486"/>
      <c r="Q212" s="2487"/>
      <c r="R212" s="2488"/>
      <c r="S212" s="1972"/>
      <c r="T212" s="1972"/>
      <c r="U212" s="1972"/>
      <c r="V212" s="2389">
        <f>V214</f>
        <v>0</v>
      </c>
      <c r="W212" s="2389">
        <f>W214</f>
        <v>0</v>
      </c>
    </row>
    <row r="213" spans="1:256" ht="23.15" hidden="1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389">
        <f>N214</f>
        <v>0</v>
      </c>
      <c r="O213" s="2485"/>
      <c r="P213" s="2486"/>
      <c r="Q213" s="2487"/>
      <c r="R213" s="2488"/>
      <c r="S213" s="1972"/>
      <c r="T213" s="1972"/>
      <c r="U213" s="1972"/>
      <c r="V213" s="2389">
        <f>V214</f>
        <v>0</v>
      </c>
      <c r="W213" s="2389">
        <f>W214</f>
        <v>0</v>
      </c>
    </row>
    <row r="214" spans="1:256" ht="13.9" hidden="1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389">
        <f>N215</f>
        <v>0</v>
      </c>
      <c r="O214" s="2485"/>
      <c r="P214" s="2486"/>
      <c r="Q214" s="2487"/>
      <c r="R214" s="2488"/>
      <c r="S214" s="1972"/>
      <c r="T214" s="1972"/>
      <c r="U214" s="1972"/>
      <c r="V214" s="2389">
        <f t="shared" si="144"/>
        <v>0</v>
      </c>
      <c r="W214" s="2389">
        <f t="shared" si="144"/>
        <v>0</v>
      </c>
    </row>
    <row r="215" spans="1:256" ht="13.9" hidden="1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389">
        <v>0</v>
      </c>
      <c r="O215" s="2485"/>
      <c r="P215" s="2486"/>
      <c r="Q215" s="2487"/>
      <c r="R215" s="2488"/>
      <c r="S215" s="1972"/>
      <c r="T215" s="1972"/>
      <c r="U215" s="1972"/>
      <c r="V215" s="2389">
        <f>1000-307-693</f>
        <v>0</v>
      </c>
      <c r="W215" s="2389">
        <f>1000-320-680</f>
        <v>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2481">
        <f t="shared" si="145"/>
        <v>350</v>
      </c>
      <c r="O216" s="2498">
        <f t="shared" si="145"/>
        <v>315</v>
      </c>
      <c r="P216" s="2499">
        <f t="shared" si="145"/>
        <v>320</v>
      </c>
      <c r="Q216" s="2500">
        <f t="shared" si="145"/>
        <v>330</v>
      </c>
      <c r="R216" s="2501">
        <f t="shared" si="145"/>
        <v>350</v>
      </c>
      <c r="S216" s="2502"/>
      <c r="T216" s="2502"/>
      <c r="U216" s="2502"/>
      <c r="V216" s="2481">
        <f t="shared" ref="V216:W216" si="146">V218</f>
        <v>370</v>
      </c>
      <c r="W216" s="2481">
        <f t="shared" si="146"/>
        <v>390</v>
      </c>
      <c r="X216" s="84"/>
      <c r="Z216" s="2141"/>
    </row>
    <row r="217" spans="1:256" s="83" customFormat="1" ht="78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2481"/>
      <c r="O217" s="2495"/>
      <c r="P217" s="2496"/>
      <c r="Q217" s="2497"/>
      <c r="R217" s="2484"/>
      <c r="S217" s="2502"/>
      <c r="T217" s="2502"/>
      <c r="U217" s="2502"/>
      <c r="V217" s="2481"/>
      <c r="W217" s="2481"/>
      <c r="X217" s="84"/>
      <c r="Z217" s="2141"/>
    </row>
    <row r="218" spans="1:256" s="83" customFormat="1" ht="55" customHeight="1" x14ac:dyDescent="0.3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2389">
        <f t="shared" si="147"/>
        <v>350</v>
      </c>
      <c r="O218" s="2485">
        <f t="shared" si="147"/>
        <v>315</v>
      </c>
      <c r="P218" s="2486">
        <f t="shared" si="147"/>
        <v>320</v>
      </c>
      <c r="Q218" s="2487">
        <f t="shared" si="147"/>
        <v>330</v>
      </c>
      <c r="R218" s="2488">
        <f t="shared" si="147"/>
        <v>350</v>
      </c>
      <c r="S218" s="2502"/>
      <c r="T218" s="2502"/>
      <c r="U218" s="2502"/>
      <c r="V218" s="2389">
        <f t="shared" ref="V218:W218" si="148">V221</f>
        <v>370</v>
      </c>
      <c r="W218" s="2389">
        <f t="shared" si="148"/>
        <v>390</v>
      </c>
      <c r="X218" s="84"/>
      <c r="Z218" s="2141"/>
    </row>
    <row r="219" spans="1:256" s="83" customFormat="1" ht="26" x14ac:dyDescent="0.3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2389">
        <f>N221</f>
        <v>350</v>
      </c>
      <c r="O219" s="2485">
        <f>O221</f>
        <v>315</v>
      </c>
      <c r="P219" s="2486">
        <f>P221</f>
        <v>320</v>
      </c>
      <c r="Q219" s="2487">
        <f>Q221</f>
        <v>330</v>
      </c>
      <c r="R219" s="2488">
        <f>R221</f>
        <v>350</v>
      </c>
      <c r="S219" s="2502"/>
      <c r="T219" s="2502"/>
      <c r="U219" s="2502"/>
      <c r="V219" s="2389">
        <f>V221</f>
        <v>370</v>
      </c>
      <c r="W219" s="2389">
        <f>W221</f>
        <v>390</v>
      </c>
      <c r="X219" s="84"/>
      <c r="Z219" s="2141"/>
    </row>
    <row r="220" spans="1:256" s="83" customFormat="1" ht="26" x14ac:dyDescent="0.3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2389">
        <f>N221</f>
        <v>350</v>
      </c>
      <c r="O220" s="2485"/>
      <c r="P220" s="2486"/>
      <c r="Q220" s="2487"/>
      <c r="R220" s="2488"/>
      <c r="S220" s="2502"/>
      <c r="T220" s="2502"/>
      <c r="U220" s="2502"/>
      <c r="V220" s="2389">
        <f>V221</f>
        <v>370</v>
      </c>
      <c r="W220" s="2389">
        <f>W221</f>
        <v>390</v>
      </c>
      <c r="X220" s="84"/>
      <c r="Z220" s="2141"/>
    </row>
    <row r="221" spans="1:256" s="83" customFormat="1" ht="25.15" customHeight="1" x14ac:dyDescent="0.3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2389">
        <f>N227</f>
        <v>350</v>
      </c>
      <c r="O221" s="2485">
        <f>O227</f>
        <v>315</v>
      </c>
      <c r="P221" s="2486">
        <f>P227</f>
        <v>320</v>
      </c>
      <c r="Q221" s="2487">
        <f>Q227</f>
        <v>330</v>
      </c>
      <c r="R221" s="2488">
        <f>R227</f>
        <v>350</v>
      </c>
      <c r="S221" s="2502"/>
      <c r="T221" s="2502"/>
      <c r="U221" s="2502"/>
      <c r="V221" s="2389">
        <f>V227</f>
        <v>370</v>
      </c>
      <c r="W221" s="2389">
        <f>W227</f>
        <v>390</v>
      </c>
      <c r="X221" s="84"/>
      <c r="Z221" s="2141"/>
    </row>
    <row r="222" spans="1:256" ht="53.5" hidden="1" customHeight="1" x14ac:dyDescent="0.25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2481"/>
      <c r="O222" s="2498"/>
      <c r="P222" s="2499"/>
      <c r="Q222" s="2500"/>
      <c r="R222" s="2501"/>
      <c r="S222" s="1972"/>
      <c r="T222" s="1972"/>
      <c r="U222" s="1972"/>
      <c r="V222" s="2481"/>
      <c r="W222" s="2481"/>
    </row>
    <row r="223" spans="1:256" ht="52" hidden="1" x14ac:dyDescent="0.3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2489"/>
      <c r="O223" s="2490"/>
      <c r="P223" s="2491"/>
      <c r="Q223" s="2492"/>
      <c r="R223" s="2493"/>
      <c r="S223" s="1972"/>
      <c r="T223" s="1972"/>
      <c r="U223" s="1972"/>
      <c r="V223" s="2489"/>
      <c r="W223" s="2489"/>
    </row>
    <row r="224" spans="1:256" ht="81.650000000000006" hidden="1" customHeight="1" x14ac:dyDescent="0.3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2489"/>
      <c r="O224" s="2490"/>
      <c r="P224" s="2491"/>
      <c r="Q224" s="2492"/>
      <c r="R224" s="2493"/>
      <c r="S224" s="1972"/>
      <c r="T224" s="1972"/>
      <c r="U224" s="1972"/>
      <c r="V224" s="2489"/>
      <c r="W224" s="2489"/>
    </row>
    <row r="225" spans="1:256" ht="81" hidden="1" customHeight="1" x14ac:dyDescent="0.3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2481"/>
      <c r="O225" s="2495"/>
      <c r="P225" s="2496"/>
      <c r="Q225" s="2497"/>
      <c r="R225" s="2484"/>
      <c r="S225" s="1972"/>
      <c r="T225" s="1972"/>
      <c r="U225" s="1972"/>
      <c r="V225" s="2481"/>
      <c r="W225" s="2481"/>
    </row>
    <row r="226" spans="1:256" ht="52" hidden="1" x14ac:dyDescent="0.3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2481"/>
      <c r="O226" s="2495"/>
      <c r="P226" s="2496"/>
      <c r="Q226" s="2497"/>
      <c r="R226" s="2484"/>
      <c r="S226" s="1972"/>
      <c r="T226" s="1972"/>
      <c r="U226" s="1972"/>
      <c r="V226" s="2481"/>
      <c r="W226" s="2481"/>
    </row>
    <row r="227" spans="1:256" ht="13" x14ac:dyDescent="0.3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2389">
        <v>350</v>
      </c>
      <c r="O227" s="2485">
        <v>315</v>
      </c>
      <c r="P227" s="2486">
        <v>320</v>
      </c>
      <c r="Q227" s="2487">
        <v>330</v>
      </c>
      <c r="R227" s="2488">
        <v>350</v>
      </c>
      <c r="S227" s="1972"/>
      <c r="T227" s="1972"/>
      <c r="U227" s="1972"/>
      <c r="V227" s="2389">
        <v>370</v>
      </c>
      <c r="W227" s="2389">
        <v>390</v>
      </c>
    </row>
    <row r="228" spans="1:256" ht="53.25" customHeight="1" x14ac:dyDescent="0.25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J229+J251+J268</f>
        <v>7755.5</v>
      </c>
      <c r="K228" s="51"/>
      <c r="L228" s="51">
        <f t="shared" ref="L228:R228" si="149">L229+L251+L268</f>
        <v>7755.5</v>
      </c>
      <c r="M228" s="1553">
        <f t="shared" si="149"/>
        <v>8382.5</v>
      </c>
      <c r="N228" s="2481">
        <f t="shared" si="149"/>
        <v>20022.18778</v>
      </c>
      <c r="O228" s="2498">
        <f t="shared" si="149"/>
        <v>8514.5999999999985</v>
      </c>
      <c r="P228" s="2499">
        <f t="shared" si="149"/>
        <v>8600</v>
      </c>
      <c r="Q228" s="2500">
        <f t="shared" si="149"/>
        <v>15553.339999999998</v>
      </c>
      <c r="R228" s="2501">
        <f t="shared" si="149"/>
        <v>16146.57</v>
      </c>
      <c r="S228" s="1972"/>
      <c r="T228" s="1972"/>
      <c r="U228" s="1972"/>
      <c r="V228" s="2481">
        <f t="shared" ref="V228:W228" si="150">V229+V251+V268</f>
        <v>15190.487999999999</v>
      </c>
      <c r="W228" s="2481">
        <f t="shared" si="150"/>
        <v>24171.095000000001</v>
      </c>
    </row>
    <row r="229" spans="1:256" ht="26" x14ac:dyDescent="0.25">
      <c r="A229" s="32"/>
      <c r="B229" s="157" t="s">
        <v>909</v>
      </c>
      <c r="C229" s="34"/>
      <c r="D229" s="34" t="s">
        <v>265</v>
      </c>
      <c r="E229" s="34" t="s">
        <v>262</v>
      </c>
      <c r="F229" s="34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2503">
        <f>N236+N240+N246+N250</f>
        <v>377</v>
      </c>
      <c r="O229" s="2504">
        <f>O232</f>
        <v>302</v>
      </c>
      <c r="P229" s="2505">
        <f>P232</f>
        <v>337</v>
      </c>
      <c r="Q229" s="2506">
        <f>Q232</f>
        <v>362</v>
      </c>
      <c r="R229" s="2507">
        <f>R232</f>
        <v>377</v>
      </c>
      <c r="S229" s="1972"/>
      <c r="T229" s="1972"/>
      <c r="U229" s="1972"/>
      <c r="V229" s="2503">
        <f>V232</f>
        <v>392</v>
      </c>
      <c r="W229" s="2503">
        <f>W232</f>
        <v>402</v>
      </c>
    </row>
    <row r="230" spans="1:256" ht="75" hidden="1" customHeight="1" x14ac:dyDescent="0.25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2503"/>
      <c r="O230" s="2504"/>
      <c r="P230" s="2505"/>
      <c r="Q230" s="2506"/>
      <c r="R230" s="2507"/>
      <c r="S230" s="1972"/>
      <c r="T230" s="1972"/>
      <c r="U230" s="1972"/>
      <c r="V230" s="2503"/>
      <c r="W230" s="2503"/>
    </row>
    <row r="231" spans="1:256" ht="25.15" hidden="1" customHeight="1" x14ac:dyDescent="0.25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2503"/>
      <c r="O231" s="2504"/>
      <c r="P231" s="2505"/>
      <c r="Q231" s="2506"/>
      <c r="R231" s="2507"/>
      <c r="S231" s="1972"/>
      <c r="T231" s="1972"/>
      <c r="U231" s="1972"/>
      <c r="V231" s="2503"/>
      <c r="W231" s="2503"/>
    </row>
    <row r="232" spans="1:256" s="2" customFormat="1" ht="25.15" customHeight="1" x14ac:dyDescent="0.25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2503">
        <f>N237+N233</f>
        <v>377</v>
      </c>
      <c r="O232" s="2504">
        <f>O237</f>
        <v>302</v>
      </c>
      <c r="P232" s="2505">
        <f>P237</f>
        <v>337</v>
      </c>
      <c r="Q232" s="2508">
        <f t="shared" ref="Q232:R232" si="151">Q237+Q233</f>
        <v>362</v>
      </c>
      <c r="R232" s="2508">
        <f t="shared" si="151"/>
        <v>377</v>
      </c>
      <c r="S232" s="1972"/>
      <c r="T232" s="1972"/>
      <c r="U232" s="1972"/>
      <c r="V232" s="2503">
        <f>V237+V233</f>
        <v>392</v>
      </c>
      <c r="W232" s="2503">
        <f>W237+W233</f>
        <v>402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5">
      <c r="A233" s="32"/>
      <c r="B233" s="2147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2503">
        <f>N234</f>
        <v>117</v>
      </c>
      <c r="O233" s="2504"/>
      <c r="P233" s="2505"/>
      <c r="Q233" s="2506">
        <f>Q234</f>
        <v>102</v>
      </c>
      <c r="R233" s="2507">
        <f>R234</f>
        <v>107</v>
      </c>
      <c r="S233" s="1972"/>
      <c r="T233" s="1972"/>
      <c r="U233" s="1972"/>
      <c r="V233" s="2503">
        <f>V234</f>
        <v>122</v>
      </c>
      <c r="W233" s="2503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5">
      <c r="A234" s="32"/>
      <c r="B234" s="1993" t="s">
        <v>1048</v>
      </c>
      <c r="C234" s="34"/>
      <c r="D234" s="34"/>
      <c r="E234" s="34"/>
      <c r="F234" s="9" t="s">
        <v>507</v>
      </c>
      <c r="G234" s="9" t="s">
        <v>955</v>
      </c>
      <c r="H234" s="9"/>
      <c r="I234" s="34"/>
      <c r="J234" s="1062"/>
      <c r="K234" s="1062"/>
      <c r="L234" s="1062"/>
      <c r="M234" s="1556"/>
      <c r="N234" s="2503">
        <f>N236</f>
        <v>117</v>
      </c>
      <c r="O234" s="2504"/>
      <c r="P234" s="2505"/>
      <c r="Q234" s="2506">
        <f>Q236</f>
        <v>102</v>
      </c>
      <c r="R234" s="2507">
        <f>R236</f>
        <v>107</v>
      </c>
      <c r="S234" s="1972"/>
      <c r="T234" s="1972"/>
      <c r="U234" s="1972"/>
      <c r="V234" s="2503">
        <f>V236</f>
        <v>122</v>
      </c>
      <c r="W234" s="2503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5">
      <c r="A235" s="32"/>
      <c r="B235" s="49" t="s">
        <v>4</v>
      </c>
      <c r="C235" s="34"/>
      <c r="D235" s="34"/>
      <c r="E235" s="34"/>
      <c r="F235" s="9" t="s">
        <v>507</v>
      </c>
      <c r="G235" s="9" t="s">
        <v>1</v>
      </c>
      <c r="H235" s="9"/>
      <c r="I235" s="34"/>
      <c r="J235" s="1062"/>
      <c r="K235" s="1062"/>
      <c r="L235" s="1062"/>
      <c r="M235" s="1556"/>
      <c r="N235" s="2503">
        <f>N236</f>
        <v>117</v>
      </c>
      <c r="O235" s="2504"/>
      <c r="P235" s="2505"/>
      <c r="Q235" s="2506"/>
      <c r="R235" s="2507"/>
      <c r="S235" s="1972"/>
      <c r="T235" s="1972"/>
      <c r="U235" s="1972"/>
      <c r="V235" s="2503">
        <f>V236</f>
        <v>122</v>
      </c>
      <c r="W235" s="2503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9" customHeight="1" x14ac:dyDescent="0.25">
      <c r="A236" s="32"/>
      <c r="B236" s="2387" t="s">
        <v>964</v>
      </c>
      <c r="C236" s="34"/>
      <c r="D236" s="34"/>
      <c r="E236" s="34"/>
      <c r="F236" s="34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2503">
        <v>117</v>
      </c>
      <c r="O236" s="2504"/>
      <c r="P236" s="2505"/>
      <c r="Q236" s="2506">
        <v>102</v>
      </c>
      <c r="R236" s="2507">
        <v>107</v>
      </c>
      <c r="S236" s="1972"/>
      <c r="T236" s="1972"/>
      <c r="U236" s="1972"/>
      <c r="V236" s="2503">
        <v>122</v>
      </c>
      <c r="W236" s="2503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13" x14ac:dyDescent="0.25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2503">
        <f t="shared" si="152"/>
        <v>260</v>
      </c>
      <c r="O237" s="2504">
        <f t="shared" si="152"/>
        <v>302</v>
      </c>
      <c r="P237" s="2505">
        <f t="shared" si="152"/>
        <v>337</v>
      </c>
      <c r="Q237" s="2506">
        <f t="shared" si="152"/>
        <v>260</v>
      </c>
      <c r="R237" s="2507">
        <f t="shared" si="152"/>
        <v>270</v>
      </c>
      <c r="S237" s="1972"/>
      <c r="T237" s="1972"/>
      <c r="U237" s="1972"/>
      <c r="V237" s="2503">
        <f>V239</f>
        <v>270</v>
      </c>
      <c r="W237" s="2503">
        <f>W239</f>
        <v>280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6" x14ac:dyDescent="0.25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2503">
        <f>N239</f>
        <v>260</v>
      </c>
      <c r="O238" s="2504"/>
      <c r="P238" s="2505"/>
      <c r="Q238" s="2506"/>
      <c r="R238" s="2507"/>
      <c r="S238" s="1972"/>
      <c r="T238" s="1972"/>
      <c r="U238" s="1972"/>
      <c r="V238" s="2503">
        <f t="shared" ref="V238:W238" si="153">V239</f>
        <v>270</v>
      </c>
      <c r="W238" s="2503">
        <f t="shared" si="153"/>
        <v>280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2503">
        <f t="shared" ref="N239:R239" si="154">N240</f>
        <v>260</v>
      </c>
      <c r="O239" s="2504">
        <f t="shared" si="154"/>
        <v>302</v>
      </c>
      <c r="P239" s="2505">
        <f t="shared" si="154"/>
        <v>337</v>
      </c>
      <c r="Q239" s="2506">
        <f t="shared" si="154"/>
        <v>260</v>
      </c>
      <c r="R239" s="2507">
        <f t="shared" si="154"/>
        <v>270</v>
      </c>
      <c r="S239" s="1972"/>
      <c r="T239" s="1972"/>
      <c r="U239" s="1972"/>
      <c r="V239" s="2503">
        <f t="shared" ref="V239:W239" si="155">V240</f>
        <v>270</v>
      </c>
      <c r="W239" s="2503">
        <f t="shared" si="155"/>
        <v>280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3">
      <c r="A240" s="32"/>
      <c r="B240" s="2003" t="s">
        <v>964</v>
      </c>
      <c r="C240" s="34"/>
      <c r="D240" s="34"/>
      <c r="E240" s="34"/>
      <c r="F240" s="34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2597">
        <v>260</v>
      </c>
      <c r="O240" s="2510">
        <v>302</v>
      </c>
      <c r="P240" s="2511">
        <v>337</v>
      </c>
      <c r="Q240" s="2512">
        <f>362-102</f>
        <v>260</v>
      </c>
      <c r="R240" s="2513">
        <f>377-107</f>
        <v>270</v>
      </c>
      <c r="S240" s="2514"/>
      <c r="T240" s="2514"/>
      <c r="U240" s="2514"/>
      <c r="V240" s="2597">
        <v>270</v>
      </c>
      <c r="W240" s="2597">
        <v>280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5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J251</f>
        <v>6205</v>
      </c>
      <c r="K241" s="51"/>
      <c r="L241" s="51">
        <f t="shared" ref="L241:R241" si="156">L251</f>
        <v>6305</v>
      </c>
      <c r="M241" s="1553">
        <f t="shared" si="156"/>
        <v>6960</v>
      </c>
      <c r="N241" s="2515">
        <f t="shared" si="156"/>
        <v>16901.626779999999</v>
      </c>
      <c r="O241" s="2516">
        <f t="shared" si="156"/>
        <v>6962.0999999999995</v>
      </c>
      <c r="P241" s="2517">
        <f t="shared" si="156"/>
        <v>6915</v>
      </c>
      <c r="Q241" s="2518">
        <f t="shared" si="156"/>
        <v>12173.939999999999</v>
      </c>
      <c r="R241" s="2519">
        <f t="shared" si="156"/>
        <v>12431.57</v>
      </c>
      <c r="S241" s="2514"/>
      <c r="T241" s="2514"/>
      <c r="U241" s="2514"/>
      <c r="V241" s="2515">
        <f t="shared" ref="V241:W241" si="157">V251</f>
        <v>13242.807999999999</v>
      </c>
      <c r="W241" s="2515">
        <f t="shared" si="157"/>
        <v>16990.495999999999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25.5" hidden="1" customHeight="1" x14ac:dyDescent="0.25">
      <c r="A242" s="91"/>
      <c r="B242" s="1093" t="s">
        <v>1221</v>
      </c>
      <c r="C242" s="34"/>
      <c r="D242" s="34"/>
      <c r="E242" s="34"/>
      <c r="F242" s="34" t="s">
        <v>1217</v>
      </c>
      <c r="G242" s="131"/>
      <c r="H242" s="131"/>
      <c r="I242" s="34"/>
      <c r="J242" s="51"/>
      <c r="K242" s="51"/>
      <c r="L242" s="51"/>
      <c r="M242" s="1553"/>
      <c r="N242" s="2520">
        <f>N246+N250</f>
        <v>0</v>
      </c>
      <c r="O242" s="2521"/>
      <c r="P242" s="2522"/>
      <c r="Q242" s="2523"/>
      <c r="R242" s="2524"/>
      <c r="S242" s="2525"/>
      <c r="T242" s="2525"/>
      <c r="U242" s="2525"/>
      <c r="V242" s="2520">
        <f>V246+V250</f>
        <v>0</v>
      </c>
      <c r="W242" s="2520">
        <f>W246+W250</f>
        <v>0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7.149999999999999" hidden="1" customHeight="1" x14ac:dyDescent="0.25">
      <c r="A243" s="91"/>
      <c r="B243" s="49" t="s">
        <v>1218</v>
      </c>
      <c r="C243" s="34"/>
      <c r="D243" s="34"/>
      <c r="E243" s="34"/>
      <c r="F243" s="9" t="s">
        <v>1219</v>
      </c>
      <c r="G243" s="131"/>
      <c r="H243" s="131"/>
      <c r="I243" s="34"/>
      <c r="J243" s="51"/>
      <c r="K243" s="51"/>
      <c r="L243" s="51"/>
      <c r="M243" s="1553"/>
      <c r="N243" s="2520">
        <f>N244</f>
        <v>0</v>
      </c>
      <c r="O243" s="2521"/>
      <c r="P243" s="2522"/>
      <c r="Q243" s="2523"/>
      <c r="R243" s="2524"/>
      <c r="S243" s="2525"/>
      <c r="T243" s="2525"/>
      <c r="U243" s="2525"/>
      <c r="V243" s="2520">
        <f t="shared" ref="V243:W245" si="158">V244</f>
        <v>0</v>
      </c>
      <c r="W243" s="2520">
        <f t="shared" si="158"/>
        <v>0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25.5" hidden="1" customHeight="1" x14ac:dyDescent="0.25">
      <c r="A244" s="91"/>
      <c r="B244" s="1993" t="s">
        <v>1048</v>
      </c>
      <c r="C244" s="34"/>
      <c r="D244" s="34"/>
      <c r="E244" s="34"/>
      <c r="F244" s="9" t="s">
        <v>1219</v>
      </c>
      <c r="G244" s="9" t="s">
        <v>955</v>
      </c>
      <c r="H244" s="131"/>
      <c r="I244" s="34"/>
      <c r="J244" s="51"/>
      <c r="K244" s="51"/>
      <c r="L244" s="51"/>
      <c r="M244" s="1553"/>
      <c r="N244" s="2520">
        <f>N245</f>
        <v>0</v>
      </c>
      <c r="O244" s="2521"/>
      <c r="P244" s="2522"/>
      <c r="Q244" s="2523"/>
      <c r="R244" s="2524"/>
      <c r="S244" s="2525"/>
      <c r="T244" s="2525"/>
      <c r="U244" s="2525"/>
      <c r="V244" s="2520">
        <f t="shared" si="158"/>
        <v>0</v>
      </c>
      <c r="W244" s="2520">
        <f t="shared" si="158"/>
        <v>0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25.5" hidden="1" customHeight="1" x14ac:dyDescent="0.25">
      <c r="A245" s="91"/>
      <c r="B245" s="49" t="s">
        <v>4</v>
      </c>
      <c r="C245" s="34"/>
      <c r="D245" s="34"/>
      <c r="E245" s="34"/>
      <c r="F245" s="9" t="s">
        <v>1219</v>
      </c>
      <c r="G245" s="9" t="s">
        <v>1</v>
      </c>
      <c r="H245" s="131"/>
      <c r="I245" s="34"/>
      <c r="J245" s="51"/>
      <c r="K245" s="51"/>
      <c r="L245" s="51"/>
      <c r="M245" s="1553"/>
      <c r="N245" s="2520">
        <f>N246</f>
        <v>0</v>
      </c>
      <c r="O245" s="2521"/>
      <c r="P245" s="2522"/>
      <c r="Q245" s="2523"/>
      <c r="R245" s="2524"/>
      <c r="S245" s="2525"/>
      <c r="T245" s="2525"/>
      <c r="U245" s="2525"/>
      <c r="V245" s="2520">
        <f t="shared" si="158"/>
        <v>0</v>
      </c>
      <c r="W245" s="2520">
        <f t="shared" si="158"/>
        <v>0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5" hidden="1" customHeight="1" x14ac:dyDescent="0.25">
      <c r="A246" s="91"/>
      <c r="B246" s="2387" t="s">
        <v>964</v>
      </c>
      <c r="C246" s="34"/>
      <c r="D246" s="34"/>
      <c r="E246" s="34"/>
      <c r="F246" s="34" t="s">
        <v>1219</v>
      </c>
      <c r="G246" s="9" t="s">
        <v>1</v>
      </c>
      <c r="H246" s="9" t="s">
        <v>506</v>
      </c>
      <c r="I246" s="9" t="s">
        <v>506</v>
      </c>
      <c r="J246" s="51"/>
      <c r="K246" s="51"/>
      <c r="L246" s="51"/>
      <c r="M246" s="1553"/>
      <c r="N246" s="2891">
        <f>500+12.62222-392.62222-120</f>
        <v>0</v>
      </c>
      <c r="O246" s="2521"/>
      <c r="P246" s="2522"/>
      <c r="Q246" s="2523"/>
      <c r="R246" s="2524"/>
      <c r="S246" s="2525"/>
      <c r="T246" s="2525"/>
      <c r="U246" s="2525"/>
      <c r="V246" s="2520">
        <v>0</v>
      </c>
      <c r="W246" s="2520">
        <v>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5" hidden="1" customHeight="1" x14ac:dyDescent="0.25">
      <c r="A247" s="91"/>
      <c r="B247" s="49" t="s">
        <v>1222</v>
      </c>
      <c r="C247" s="34"/>
      <c r="D247" s="34"/>
      <c r="E247" s="34"/>
      <c r="F247" s="9" t="s">
        <v>1220</v>
      </c>
      <c r="G247" s="9"/>
      <c r="H247" s="9"/>
      <c r="I247" s="9"/>
      <c r="J247" s="51"/>
      <c r="K247" s="51"/>
      <c r="L247" s="51"/>
      <c r="M247" s="1553"/>
      <c r="N247" s="2520">
        <f>N248</f>
        <v>0</v>
      </c>
      <c r="O247" s="2526"/>
      <c r="P247" s="2527"/>
      <c r="Q247" s="2528"/>
      <c r="R247" s="2529"/>
      <c r="S247" s="2525"/>
      <c r="T247" s="2525"/>
      <c r="U247" s="2525"/>
      <c r="V247" s="2520">
        <f t="shared" ref="V247:W249" si="159">V248</f>
        <v>0</v>
      </c>
      <c r="W247" s="2520">
        <f t="shared" si="159"/>
        <v>0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5" hidden="1" customHeight="1" x14ac:dyDescent="0.25">
      <c r="A248" s="91"/>
      <c r="B248" s="1993" t="s">
        <v>1048</v>
      </c>
      <c r="C248" s="34"/>
      <c r="D248" s="34"/>
      <c r="E248" s="34"/>
      <c r="F248" s="9" t="s">
        <v>1220</v>
      </c>
      <c r="G248" s="9" t="s">
        <v>955</v>
      </c>
      <c r="H248" s="131"/>
      <c r="I248" s="34"/>
      <c r="J248" s="51"/>
      <c r="K248" s="51"/>
      <c r="L248" s="51"/>
      <c r="M248" s="1553"/>
      <c r="N248" s="2520">
        <f>N249</f>
        <v>0</v>
      </c>
      <c r="O248" s="2526"/>
      <c r="P248" s="2527"/>
      <c r="Q248" s="2528"/>
      <c r="R248" s="2529"/>
      <c r="S248" s="2525"/>
      <c r="T248" s="2525"/>
      <c r="U248" s="2525"/>
      <c r="V248" s="2520">
        <f t="shared" si="159"/>
        <v>0</v>
      </c>
      <c r="W248" s="2520">
        <f t="shared" si="159"/>
        <v>0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5" hidden="1" customHeight="1" x14ac:dyDescent="0.25">
      <c r="A249" s="91"/>
      <c r="B249" s="49" t="s">
        <v>4</v>
      </c>
      <c r="C249" s="34"/>
      <c r="D249" s="34"/>
      <c r="E249" s="34"/>
      <c r="F249" s="9" t="s">
        <v>1220</v>
      </c>
      <c r="G249" s="9" t="s">
        <v>1</v>
      </c>
      <c r="H249" s="131"/>
      <c r="I249" s="34"/>
      <c r="J249" s="51"/>
      <c r="K249" s="51"/>
      <c r="L249" s="51"/>
      <c r="M249" s="1553"/>
      <c r="N249" s="2520">
        <f>N250</f>
        <v>0</v>
      </c>
      <c r="O249" s="2526"/>
      <c r="P249" s="2527"/>
      <c r="Q249" s="2528"/>
      <c r="R249" s="2529"/>
      <c r="S249" s="2525"/>
      <c r="T249" s="2525"/>
      <c r="U249" s="2525"/>
      <c r="V249" s="2520">
        <f t="shared" si="159"/>
        <v>0</v>
      </c>
      <c r="W249" s="2520">
        <f t="shared" si="159"/>
        <v>0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5" hidden="1" customHeight="1" x14ac:dyDescent="0.25">
      <c r="A250" s="91"/>
      <c r="B250" s="2387" t="s">
        <v>964</v>
      </c>
      <c r="C250" s="34"/>
      <c r="D250" s="34"/>
      <c r="E250" s="34"/>
      <c r="F250" s="34" t="s">
        <v>1220</v>
      </c>
      <c r="G250" s="9" t="s">
        <v>1</v>
      </c>
      <c r="H250" s="9" t="s">
        <v>506</v>
      </c>
      <c r="I250" s="9" t="s">
        <v>506</v>
      </c>
      <c r="J250" s="51"/>
      <c r="K250" s="51"/>
      <c r="L250" s="51"/>
      <c r="M250" s="1553"/>
      <c r="N250" s="2520">
        <f>893.9-12.62222+962.62222-1843.9</f>
        <v>0</v>
      </c>
      <c r="O250" s="2526"/>
      <c r="P250" s="2527"/>
      <c r="Q250" s="2528"/>
      <c r="R250" s="2529"/>
      <c r="S250" s="2525"/>
      <c r="T250" s="2525"/>
      <c r="U250" s="2525"/>
      <c r="V250" s="2520">
        <v>0</v>
      </c>
      <c r="W250" s="2520">
        <v>0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39" x14ac:dyDescent="0.25">
      <c r="A251" s="32"/>
      <c r="B251" s="157" t="s">
        <v>911</v>
      </c>
      <c r="C251" s="9"/>
      <c r="D251" s="9" t="s">
        <v>246</v>
      </c>
      <c r="E251" s="9" t="s">
        <v>85</v>
      </c>
      <c r="F251" s="34" t="s">
        <v>260</v>
      </c>
      <c r="G251" s="9"/>
      <c r="H251" s="9"/>
      <c r="I251" s="9"/>
      <c r="J251" s="1060">
        <f>J253</f>
        <v>6205</v>
      </c>
      <c r="K251" s="1060"/>
      <c r="L251" s="1060">
        <f t="shared" ref="L251:P251" si="160">L253</f>
        <v>6305</v>
      </c>
      <c r="M251" s="1557">
        <f t="shared" si="160"/>
        <v>6960</v>
      </c>
      <c r="N251" s="2597">
        <f>N256+N259+N262+N267</f>
        <v>16901.626779999999</v>
      </c>
      <c r="O251" s="2510">
        <f t="shared" si="160"/>
        <v>6962.0999999999995</v>
      </c>
      <c r="P251" s="2511">
        <f t="shared" si="160"/>
        <v>6915</v>
      </c>
      <c r="Q251" s="2512">
        <f>Q252</f>
        <v>12173.939999999999</v>
      </c>
      <c r="R251" s="2513">
        <f>R252</f>
        <v>12431.57</v>
      </c>
      <c r="S251" s="2627"/>
      <c r="T251" s="2627"/>
      <c r="U251" s="2627"/>
      <c r="V251" s="2597">
        <f>V256+V259+V262+V267</f>
        <v>13242.807999999999</v>
      </c>
      <c r="W251" s="2597">
        <f>W256+W259+W262+W267</f>
        <v>16990.495999999999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3" x14ac:dyDescent="0.25">
      <c r="A252" s="32"/>
      <c r="B252" s="1093" t="s">
        <v>259</v>
      </c>
      <c r="C252" s="9"/>
      <c r="D252" s="9"/>
      <c r="E252" s="9"/>
      <c r="F252" s="34" t="s">
        <v>258</v>
      </c>
      <c r="G252" s="9"/>
      <c r="H252" s="9"/>
      <c r="I252" s="9"/>
      <c r="J252" s="1060">
        <f>J253</f>
        <v>6205</v>
      </c>
      <c r="K252" s="1060"/>
      <c r="L252" s="1060"/>
      <c r="M252" s="1557"/>
      <c r="N252" s="2503">
        <f>N253+N264</f>
        <v>16901.626779999999</v>
      </c>
      <c r="O252" s="2504">
        <f>O253</f>
        <v>6962.0999999999995</v>
      </c>
      <c r="P252" s="2505">
        <f>P253</f>
        <v>6915</v>
      </c>
      <c r="Q252" s="2506">
        <f>Q253+Q264</f>
        <v>12173.939999999999</v>
      </c>
      <c r="R252" s="2507">
        <f>R253+R264</f>
        <v>12431.57</v>
      </c>
      <c r="S252" s="1972"/>
      <c r="T252" s="1972"/>
      <c r="U252" s="1972"/>
      <c r="V252" s="2503">
        <f>V253+V264</f>
        <v>13242.807999999999</v>
      </c>
      <c r="W252" s="2503">
        <f>W253+W264</f>
        <v>16990.495999999999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3" x14ac:dyDescent="0.25">
      <c r="A253" s="32"/>
      <c r="B253" s="49" t="s">
        <v>257</v>
      </c>
      <c r="C253" s="9"/>
      <c r="D253" s="9" t="s">
        <v>246</v>
      </c>
      <c r="E253" s="9" t="s">
        <v>85</v>
      </c>
      <c r="F253" s="9" t="s">
        <v>254</v>
      </c>
      <c r="G253" s="9"/>
      <c r="H253" s="9"/>
      <c r="I253" s="9"/>
      <c r="J253" s="1060">
        <f>J255+J258+J261</f>
        <v>6205</v>
      </c>
      <c r="K253" s="1060"/>
      <c r="L253" s="1060">
        <f t="shared" ref="L253:R253" si="161">L255+L258+L261</f>
        <v>6305</v>
      </c>
      <c r="M253" s="1557">
        <f t="shared" si="161"/>
        <v>6960</v>
      </c>
      <c r="N253" s="2530">
        <f>N256+N259+N262</f>
        <v>13406.42678</v>
      </c>
      <c r="O253" s="2531">
        <f t="shared" si="161"/>
        <v>6962.0999999999995</v>
      </c>
      <c r="P253" s="2532">
        <f t="shared" si="161"/>
        <v>6915</v>
      </c>
      <c r="Q253" s="2533">
        <f t="shared" si="161"/>
        <v>9507.74</v>
      </c>
      <c r="R253" s="2534">
        <f t="shared" si="161"/>
        <v>9765.3700000000008</v>
      </c>
      <c r="S253" s="1972"/>
      <c r="T253" s="1972"/>
      <c r="U253" s="1972"/>
      <c r="V253" s="2530">
        <f>V256+V259+V262</f>
        <v>9607.7999999999993</v>
      </c>
      <c r="W253" s="2530">
        <f>W256+W259+W262</f>
        <v>13210.088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42.65" customHeight="1" x14ac:dyDescent="0.25">
      <c r="A254" s="32"/>
      <c r="B254" s="49" t="s">
        <v>1063</v>
      </c>
      <c r="C254" s="9"/>
      <c r="D254" s="9"/>
      <c r="E254" s="9"/>
      <c r="F254" s="9" t="s">
        <v>254</v>
      </c>
      <c r="G254" s="9" t="s">
        <v>1062</v>
      </c>
      <c r="H254" s="9"/>
      <c r="I254" s="9"/>
      <c r="J254" s="1060"/>
      <c r="K254" s="1060"/>
      <c r="L254" s="1060"/>
      <c r="M254" s="1557"/>
      <c r="N254" s="2530">
        <f>N255</f>
        <v>7903.6489999999994</v>
      </c>
      <c r="O254" s="2531"/>
      <c r="P254" s="2532"/>
      <c r="Q254" s="2533"/>
      <c r="R254" s="2534"/>
      <c r="S254" s="1972"/>
      <c r="T254" s="1972"/>
      <c r="U254" s="1972"/>
      <c r="V254" s="2530">
        <f t="shared" ref="V254:W254" si="162">V255</f>
        <v>7709.01</v>
      </c>
      <c r="W254" s="2530">
        <f t="shared" si="162"/>
        <v>8017.3710000000001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13" x14ac:dyDescent="0.3">
      <c r="A255" s="32"/>
      <c r="B255" s="744" t="s">
        <v>256</v>
      </c>
      <c r="C255" s="9"/>
      <c r="D255" s="9" t="s">
        <v>246</v>
      </c>
      <c r="E255" s="9" t="s">
        <v>85</v>
      </c>
      <c r="F255" s="9" t="s">
        <v>254</v>
      </c>
      <c r="G255" s="9" t="s">
        <v>255</v>
      </c>
      <c r="H255" s="9"/>
      <c r="I255" s="9"/>
      <c r="J255" s="1060">
        <f>J256</f>
        <v>4156.915</v>
      </c>
      <c r="K255" s="1078"/>
      <c r="L255" s="1060">
        <v>5305.1139999999996</v>
      </c>
      <c r="M255" s="1557">
        <v>6631.482</v>
      </c>
      <c r="N255" s="2503">
        <f>N256</f>
        <v>7903.6489999999994</v>
      </c>
      <c r="O255" s="2504">
        <f>O256</f>
        <v>4886.9669999999996</v>
      </c>
      <c r="P255" s="2505">
        <f>P256</f>
        <v>5375.0079999999998</v>
      </c>
      <c r="Q255" s="2506">
        <f>Q256</f>
        <v>7375.74</v>
      </c>
      <c r="R255" s="2507">
        <f>R256</f>
        <v>7670.77</v>
      </c>
      <c r="S255" s="1972"/>
      <c r="T255" s="1972"/>
      <c r="U255" s="1972"/>
      <c r="V255" s="2503">
        <f>V256</f>
        <v>7709.01</v>
      </c>
      <c r="W255" s="2503">
        <f>W256</f>
        <v>8017.3710000000001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13" x14ac:dyDescent="0.3">
      <c r="A256" s="32"/>
      <c r="B256" s="744" t="s">
        <v>87</v>
      </c>
      <c r="C256" s="9"/>
      <c r="D256" s="9"/>
      <c r="E256" s="9"/>
      <c r="F256" s="9" t="s">
        <v>254</v>
      </c>
      <c r="G256" s="9" t="s">
        <v>255</v>
      </c>
      <c r="H256" s="9" t="s">
        <v>453</v>
      </c>
      <c r="I256" s="9" t="s">
        <v>456</v>
      </c>
      <c r="J256" s="1060">
        <v>4156.915</v>
      </c>
      <c r="K256" s="1078"/>
      <c r="L256" s="1060"/>
      <c r="M256" s="1557"/>
      <c r="N256" s="2503">
        <f>7413.11+490.539</f>
        <v>7903.6489999999994</v>
      </c>
      <c r="O256" s="2504">
        <v>4886.9669999999996</v>
      </c>
      <c r="P256" s="2505">
        <v>5375.0079999999998</v>
      </c>
      <c r="Q256" s="2506">
        <v>7375.74</v>
      </c>
      <c r="R256" s="2507">
        <v>7670.77</v>
      </c>
      <c r="S256" s="1972"/>
      <c r="T256" s="1972"/>
      <c r="U256" s="1972"/>
      <c r="V256" s="2503">
        <v>7709.01</v>
      </c>
      <c r="W256" s="2503">
        <v>8017.3710000000001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6" x14ac:dyDescent="0.25">
      <c r="A257" s="32"/>
      <c r="B257" s="49" t="s">
        <v>1048</v>
      </c>
      <c r="C257" s="9"/>
      <c r="D257" s="9"/>
      <c r="E257" s="9"/>
      <c r="F257" s="9" t="s">
        <v>254</v>
      </c>
      <c r="G257" s="9" t="s">
        <v>955</v>
      </c>
      <c r="H257" s="9"/>
      <c r="I257" s="9"/>
      <c r="J257" s="1060"/>
      <c r="K257" s="1078"/>
      <c r="L257" s="1060"/>
      <c r="M257" s="1557"/>
      <c r="N257" s="2503">
        <f>N258</f>
        <v>5501.7777800000003</v>
      </c>
      <c r="O257" s="2504"/>
      <c r="P257" s="2505"/>
      <c r="Q257" s="2506"/>
      <c r="R257" s="2507"/>
      <c r="S257" s="1972"/>
      <c r="T257" s="1972"/>
      <c r="U257" s="1972"/>
      <c r="V257" s="2503">
        <f t="shared" ref="V257:W257" si="163">V258</f>
        <v>1897.79</v>
      </c>
      <c r="W257" s="2503">
        <f t="shared" si="163"/>
        <v>5191.7169999999996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15" customHeight="1" x14ac:dyDescent="0.25">
      <c r="A258" s="32"/>
      <c r="B258" s="1993" t="s">
        <v>4</v>
      </c>
      <c r="C258" s="9"/>
      <c r="D258" s="9" t="s">
        <v>246</v>
      </c>
      <c r="E258" s="9" t="s">
        <v>85</v>
      </c>
      <c r="F258" s="9" t="s">
        <v>254</v>
      </c>
      <c r="G258" s="9" t="s">
        <v>1</v>
      </c>
      <c r="H258" s="9"/>
      <c r="I258" s="9"/>
      <c r="J258" s="1060">
        <f>J259</f>
        <v>2047.085</v>
      </c>
      <c r="K258" s="1060"/>
      <c r="L258" s="1060">
        <f>999.886-0.886</f>
        <v>999</v>
      </c>
      <c r="M258" s="1557">
        <v>328</v>
      </c>
      <c r="N258" s="2503">
        <f>N259</f>
        <v>5501.7777800000003</v>
      </c>
      <c r="O258" s="2504">
        <f>O259</f>
        <v>2074.1329999999998</v>
      </c>
      <c r="P258" s="2505">
        <f>P259</f>
        <v>1538.992</v>
      </c>
      <c r="Q258" s="2506">
        <f>Q259</f>
        <v>2122</v>
      </c>
      <c r="R258" s="2507">
        <f>R259</f>
        <v>2084.6</v>
      </c>
      <c r="S258" s="1972"/>
      <c r="T258" s="1972"/>
      <c r="U258" s="1972"/>
      <c r="V258" s="2503">
        <f>V259</f>
        <v>1897.79</v>
      </c>
      <c r="W258" s="2503">
        <f>W259</f>
        <v>5191.7169999999996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3" x14ac:dyDescent="0.3">
      <c r="A259" s="32"/>
      <c r="B259" s="744" t="s">
        <v>87</v>
      </c>
      <c r="C259" s="9"/>
      <c r="D259" s="9"/>
      <c r="E259" s="9"/>
      <c r="F259" s="9" t="s">
        <v>254</v>
      </c>
      <c r="G259" s="9" t="s">
        <v>1</v>
      </c>
      <c r="H259" s="9" t="s">
        <v>453</v>
      </c>
      <c r="I259" s="9" t="s">
        <v>456</v>
      </c>
      <c r="J259" s="1060">
        <v>2047.085</v>
      </c>
      <c r="K259" s="1060"/>
      <c r="L259" s="1060"/>
      <c r="M259" s="1557"/>
      <c r="N259" s="2503">
        <f>4620.5-962.62222+1843.9</f>
        <v>5501.7777800000003</v>
      </c>
      <c r="O259" s="2504">
        <v>2074.1329999999998</v>
      </c>
      <c r="P259" s="2505">
        <v>1538.992</v>
      </c>
      <c r="Q259" s="2506">
        <v>2122</v>
      </c>
      <c r="R259" s="2507">
        <v>2084.6</v>
      </c>
      <c r="S259" s="1972"/>
      <c r="T259" s="1972"/>
      <c r="U259" s="1972"/>
      <c r="V259" s="2503">
        <f>4897.79-3000</f>
        <v>1897.79</v>
      </c>
      <c r="W259" s="2503">
        <v>5191.7169999999996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13" x14ac:dyDescent="0.3">
      <c r="A260" s="32"/>
      <c r="B260" s="744" t="s">
        <v>1065</v>
      </c>
      <c r="C260" s="9"/>
      <c r="D260" s="9"/>
      <c r="E260" s="9"/>
      <c r="F260" s="9" t="s">
        <v>254</v>
      </c>
      <c r="G260" s="9" t="s">
        <v>1064</v>
      </c>
      <c r="H260" s="9"/>
      <c r="I260" s="9"/>
      <c r="J260" s="1060"/>
      <c r="K260" s="1060"/>
      <c r="L260" s="1060"/>
      <c r="M260" s="1557"/>
      <c r="N260" s="2503">
        <f>N261</f>
        <v>1</v>
      </c>
      <c r="O260" s="2504"/>
      <c r="P260" s="2505"/>
      <c r="Q260" s="2506"/>
      <c r="R260" s="2507"/>
      <c r="S260" s="1972"/>
      <c r="T260" s="1972"/>
      <c r="U260" s="1972"/>
      <c r="V260" s="2503">
        <f t="shared" ref="V260:W260" si="164">V261</f>
        <v>1</v>
      </c>
      <c r="W260" s="2503">
        <f t="shared" si="164"/>
        <v>1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13" x14ac:dyDescent="0.3">
      <c r="A261" s="32"/>
      <c r="B261" s="744" t="s">
        <v>94</v>
      </c>
      <c r="C261" s="9"/>
      <c r="D261" s="9" t="s">
        <v>246</v>
      </c>
      <c r="E261" s="9" t="s">
        <v>85</v>
      </c>
      <c r="F261" s="9" t="s">
        <v>254</v>
      </c>
      <c r="G261" s="9" t="s">
        <v>91</v>
      </c>
      <c r="H261" s="9"/>
      <c r="I261" s="9"/>
      <c r="J261" s="1062">
        <f>J262</f>
        <v>1</v>
      </c>
      <c r="K261" s="1062"/>
      <c r="L261" s="1062">
        <v>0.88600000000000001</v>
      </c>
      <c r="M261" s="1556">
        <v>0.51800000000000002</v>
      </c>
      <c r="N261" s="2503">
        <f>N262</f>
        <v>1</v>
      </c>
      <c r="O261" s="2504">
        <f>O262</f>
        <v>1</v>
      </c>
      <c r="P261" s="2505">
        <f>P262</f>
        <v>1</v>
      </c>
      <c r="Q261" s="2506">
        <f>Q262</f>
        <v>10</v>
      </c>
      <c r="R261" s="2507">
        <f>R262</f>
        <v>10</v>
      </c>
      <c r="S261" s="1972"/>
      <c r="T261" s="1972"/>
      <c r="U261" s="1972"/>
      <c r="V261" s="2503">
        <f>V262</f>
        <v>1</v>
      </c>
      <c r="W261" s="2503">
        <f>W262</f>
        <v>1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13" x14ac:dyDescent="0.3">
      <c r="A262" s="32"/>
      <c r="B262" s="744" t="s">
        <v>87</v>
      </c>
      <c r="C262" s="9"/>
      <c r="D262" s="9"/>
      <c r="E262" s="9"/>
      <c r="F262" s="9" t="s">
        <v>254</v>
      </c>
      <c r="G262" s="9" t="s">
        <v>91</v>
      </c>
      <c r="H262" s="9" t="s">
        <v>453</v>
      </c>
      <c r="I262" s="9" t="s">
        <v>456</v>
      </c>
      <c r="J262" s="1062">
        <v>1</v>
      </c>
      <c r="K262" s="1062"/>
      <c r="L262" s="1062">
        <f>L255+L258+L261</f>
        <v>6305</v>
      </c>
      <c r="M262" s="1556">
        <f>M255+M258+M261</f>
        <v>6960</v>
      </c>
      <c r="N262" s="2503">
        <v>1</v>
      </c>
      <c r="O262" s="2504">
        <v>1</v>
      </c>
      <c r="P262" s="2505">
        <v>1</v>
      </c>
      <c r="Q262" s="2506">
        <v>10</v>
      </c>
      <c r="R262" s="2507">
        <v>10</v>
      </c>
      <c r="S262" s="1972"/>
      <c r="T262" s="1972"/>
      <c r="U262" s="1972"/>
      <c r="V262" s="2503">
        <v>1</v>
      </c>
      <c r="W262" s="2503">
        <v>1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39.65" hidden="1" customHeight="1" x14ac:dyDescent="0.25">
      <c r="A263" s="91"/>
      <c r="B263" s="52" t="s">
        <v>910</v>
      </c>
      <c r="C263" s="34"/>
      <c r="D263" s="34" t="s">
        <v>246</v>
      </c>
      <c r="E263" s="34" t="s">
        <v>242</v>
      </c>
      <c r="F263" s="9" t="s">
        <v>252</v>
      </c>
      <c r="G263" s="131"/>
      <c r="H263" s="131"/>
      <c r="I263" s="34"/>
      <c r="J263" s="51">
        <f>J268</f>
        <v>1278.5</v>
      </c>
      <c r="K263" s="51"/>
      <c r="L263" s="51">
        <f t="shared" ref="L263:R263" si="165">L268</f>
        <v>1278.5</v>
      </c>
      <c r="M263" s="1553">
        <f t="shared" si="165"/>
        <v>1238.5</v>
      </c>
      <c r="N263" s="2481">
        <f t="shared" si="165"/>
        <v>2743.5610000000006</v>
      </c>
      <c r="O263" s="2498">
        <f t="shared" si="165"/>
        <v>1250.5</v>
      </c>
      <c r="P263" s="2499">
        <f t="shared" si="165"/>
        <v>1348</v>
      </c>
      <c r="Q263" s="2500">
        <f t="shared" si="165"/>
        <v>3017.4</v>
      </c>
      <c r="R263" s="2501">
        <f t="shared" si="165"/>
        <v>3338</v>
      </c>
      <c r="S263" s="1972"/>
      <c r="T263" s="1972"/>
      <c r="U263" s="1972"/>
      <c r="V263" s="2481">
        <f t="shared" ref="V263:W263" si="166">V268</f>
        <v>1555.6800000000003</v>
      </c>
      <c r="W263" s="2481">
        <f t="shared" si="166"/>
        <v>6778.5990000000002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53.5" customHeight="1" x14ac:dyDescent="0.3">
      <c r="A264" s="91"/>
      <c r="B264" s="2009" t="s">
        <v>1205</v>
      </c>
      <c r="C264" s="735"/>
      <c r="D264" s="77"/>
      <c r="E264" s="77"/>
      <c r="F264" s="9" t="s">
        <v>970</v>
      </c>
      <c r="G264" s="9"/>
      <c r="H264" s="9"/>
      <c r="I264" s="9"/>
      <c r="J264" s="1434"/>
      <c r="K264" s="29"/>
      <c r="L264" s="28"/>
      <c r="M264" s="1558"/>
      <c r="N264" s="2389">
        <f>N266</f>
        <v>3495.2</v>
      </c>
      <c r="O264" s="2485"/>
      <c r="P264" s="2485"/>
      <c r="Q264" s="2535">
        <f>Q266</f>
        <v>2666.2</v>
      </c>
      <c r="R264" s="2488">
        <f>R266</f>
        <v>2666.2</v>
      </c>
      <c r="S264" s="1972">
        <v>712.6</v>
      </c>
      <c r="T264" s="1972">
        <v>712.6</v>
      </c>
      <c r="U264" s="1972">
        <v>712.6</v>
      </c>
      <c r="V264" s="2389">
        <f>V266</f>
        <v>3635.0079999999998</v>
      </c>
      <c r="W264" s="2536">
        <f>W266</f>
        <v>3780.4079999999999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51.65" customHeight="1" x14ac:dyDescent="0.3">
      <c r="A265" s="91"/>
      <c r="B265" s="49" t="s">
        <v>1063</v>
      </c>
      <c r="C265" s="735"/>
      <c r="D265" s="77"/>
      <c r="E265" s="77"/>
      <c r="F265" s="9" t="s">
        <v>970</v>
      </c>
      <c r="G265" s="9" t="s">
        <v>1062</v>
      </c>
      <c r="H265" s="9"/>
      <c r="I265" s="9"/>
      <c r="J265" s="1434"/>
      <c r="K265" s="29"/>
      <c r="L265" s="28"/>
      <c r="M265" s="1558"/>
      <c r="N265" s="2389">
        <f>N266</f>
        <v>3495.2</v>
      </c>
      <c r="O265" s="2485"/>
      <c r="P265" s="2485"/>
      <c r="Q265" s="2535"/>
      <c r="R265" s="2488"/>
      <c r="S265" s="1972"/>
      <c r="T265" s="1972"/>
      <c r="U265" s="1972"/>
      <c r="V265" s="2389">
        <f>V266</f>
        <v>3635.0079999999998</v>
      </c>
      <c r="W265" s="2536">
        <f>W266</f>
        <v>3780.4079999999999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17.149999999999999" customHeight="1" x14ac:dyDescent="0.3">
      <c r="A266" s="91"/>
      <c r="B266" s="737" t="s">
        <v>256</v>
      </c>
      <c r="C266" s="735"/>
      <c r="D266" s="77"/>
      <c r="E266" s="77"/>
      <c r="F266" s="9" t="s">
        <v>970</v>
      </c>
      <c r="G266" s="9" t="s">
        <v>255</v>
      </c>
      <c r="H266" s="9"/>
      <c r="I266" s="9"/>
      <c r="J266" s="1434"/>
      <c r="K266" s="29"/>
      <c r="L266" s="28"/>
      <c r="M266" s="1558"/>
      <c r="N266" s="2389">
        <f>N267</f>
        <v>3495.2</v>
      </c>
      <c r="O266" s="2485"/>
      <c r="P266" s="2485"/>
      <c r="Q266" s="2535">
        <f>Q267</f>
        <v>2666.2</v>
      </c>
      <c r="R266" s="2488">
        <f>R267</f>
        <v>2666.2</v>
      </c>
      <c r="S266" s="1972"/>
      <c r="T266" s="1972"/>
      <c r="U266" s="1972"/>
      <c r="V266" s="2389">
        <f>V267</f>
        <v>3635.0079999999998</v>
      </c>
      <c r="W266" s="2536">
        <f>W267</f>
        <v>3780.4079999999999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18" customHeight="1" x14ac:dyDescent="0.3">
      <c r="A267" s="91"/>
      <c r="B267" s="744" t="s">
        <v>87</v>
      </c>
      <c r="C267" s="735"/>
      <c r="D267" s="77"/>
      <c r="E267" s="77"/>
      <c r="F267" s="9" t="s">
        <v>985</v>
      </c>
      <c r="G267" s="9" t="s">
        <v>255</v>
      </c>
      <c r="H267" s="9" t="s">
        <v>453</v>
      </c>
      <c r="I267" s="9" t="s">
        <v>456</v>
      </c>
      <c r="J267" s="1434"/>
      <c r="K267" s="29"/>
      <c r="L267" s="28"/>
      <c r="M267" s="1558"/>
      <c r="N267" s="2389">
        <v>3495.2</v>
      </c>
      <c r="O267" s="2485"/>
      <c r="P267" s="2485"/>
      <c r="Q267" s="2535">
        <v>2666.2</v>
      </c>
      <c r="R267" s="2488">
        <v>2666.2</v>
      </c>
      <c r="S267" s="2537">
        <v>2666.2</v>
      </c>
      <c r="T267" s="2537">
        <v>2666.2</v>
      </c>
      <c r="U267" s="2537">
        <v>2666.2</v>
      </c>
      <c r="V267" s="2389">
        <v>3635.0079999999998</v>
      </c>
      <c r="W267" s="2538">
        <v>3780.4079999999999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13" x14ac:dyDescent="0.25">
      <c r="A268" s="32"/>
      <c r="B268" s="157" t="s">
        <v>836</v>
      </c>
      <c r="C268" s="9"/>
      <c r="D268" s="9" t="s">
        <v>246</v>
      </c>
      <c r="E268" s="9" t="s">
        <v>242</v>
      </c>
      <c r="F268" s="34" t="s">
        <v>251</v>
      </c>
      <c r="G268" s="9"/>
      <c r="H268" s="9"/>
      <c r="I268" s="9"/>
      <c r="J268" s="1060">
        <f>J270</f>
        <v>1278.5</v>
      </c>
      <c r="K268" s="1060"/>
      <c r="L268" s="1060">
        <f t="shared" ref="L268:R268" si="167">L270</f>
        <v>1278.5</v>
      </c>
      <c r="M268" s="1557">
        <f t="shared" si="167"/>
        <v>1238.5</v>
      </c>
      <c r="N268" s="2503">
        <f>N269</f>
        <v>2743.5610000000006</v>
      </c>
      <c r="O268" s="2504">
        <f t="shared" si="167"/>
        <v>1250.5</v>
      </c>
      <c r="P268" s="2505">
        <f t="shared" si="167"/>
        <v>1348</v>
      </c>
      <c r="Q268" s="2506">
        <f t="shared" si="167"/>
        <v>3017.4</v>
      </c>
      <c r="R268" s="2507">
        <f t="shared" si="167"/>
        <v>3338</v>
      </c>
      <c r="S268" s="1972"/>
      <c r="T268" s="1972"/>
      <c r="U268" s="1972"/>
      <c r="V268" s="2503">
        <f>V269</f>
        <v>1555.6800000000003</v>
      </c>
      <c r="W268" s="2503">
        <f>W269</f>
        <v>6778.5990000000002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ht="13" x14ac:dyDescent="0.25">
      <c r="A269" s="32"/>
      <c r="B269" s="1093" t="s">
        <v>250</v>
      </c>
      <c r="C269" s="9"/>
      <c r="D269" s="9"/>
      <c r="E269" s="9"/>
      <c r="F269" s="34" t="s">
        <v>249</v>
      </c>
      <c r="G269" s="9"/>
      <c r="H269" s="9"/>
      <c r="I269" s="9"/>
      <c r="J269" s="1060">
        <f>J270</f>
        <v>1278.5</v>
      </c>
      <c r="K269" s="1060"/>
      <c r="L269" s="1060"/>
      <c r="M269" s="1557"/>
      <c r="N269" s="2503">
        <f t="shared" ref="N269:R269" si="168">N270</f>
        <v>2743.5610000000006</v>
      </c>
      <c r="O269" s="2504">
        <f t="shared" si="168"/>
        <v>1250.5</v>
      </c>
      <c r="P269" s="2505">
        <f t="shared" si="168"/>
        <v>1348</v>
      </c>
      <c r="Q269" s="2506">
        <f t="shared" si="168"/>
        <v>3017.4</v>
      </c>
      <c r="R269" s="2507">
        <f t="shared" si="168"/>
        <v>3338</v>
      </c>
      <c r="S269" s="1972"/>
      <c r="T269" s="1972"/>
      <c r="U269" s="1972"/>
      <c r="V269" s="2503">
        <f t="shared" ref="V269:W269" si="169">V270</f>
        <v>1555.6800000000003</v>
      </c>
      <c r="W269" s="2503">
        <f t="shared" si="169"/>
        <v>6778.5990000000002</v>
      </c>
    </row>
    <row r="270" spans="1:256" ht="13" x14ac:dyDescent="0.25">
      <c r="A270" s="32"/>
      <c r="B270" s="49" t="s">
        <v>248</v>
      </c>
      <c r="C270" s="9"/>
      <c r="D270" s="9" t="s">
        <v>246</v>
      </c>
      <c r="E270" s="9" t="s">
        <v>242</v>
      </c>
      <c r="F270" s="9" t="s">
        <v>243</v>
      </c>
      <c r="G270" s="9"/>
      <c r="H270" s="9"/>
      <c r="I270" s="9"/>
      <c r="J270" s="1060">
        <f>J272</f>
        <v>1278.5</v>
      </c>
      <c r="K270" s="1060"/>
      <c r="L270" s="1060">
        <f t="shared" ref="L270:M270" si="170">L272</f>
        <v>1278.5</v>
      </c>
      <c r="M270" s="1557">
        <f t="shared" si="170"/>
        <v>1238.5</v>
      </c>
      <c r="N270" s="2503">
        <f>N272</f>
        <v>2743.5610000000006</v>
      </c>
      <c r="O270" s="2504">
        <f>O272</f>
        <v>1250.5</v>
      </c>
      <c r="P270" s="2505">
        <f>P272</f>
        <v>1348</v>
      </c>
      <c r="Q270" s="2506">
        <f>Q272</f>
        <v>3017.4</v>
      </c>
      <c r="R270" s="2507">
        <f>R272</f>
        <v>3338</v>
      </c>
      <c r="S270" s="1972"/>
      <c r="T270" s="1972"/>
      <c r="U270" s="1972"/>
      <c r="V270" s="2503">
        <f>V272</f>
        <v>1555.6800000000003</v>
      </c>
      <c r="W270" s="2503">
        <f>W272</f>
        <v>6778.5990000000002</v>
      </c>
    </row>
    <row r="271" spans="1:256" ht="26" x14ac:dyDescent="0.25">
      <c r="A271" s="32"/>
      <c r="B271" s="49" t="s">
        <v>1048</v>
      </c>
      <c r="C271" s="9"/>
      <c r="D271" s="9"/>
      <c r="E271" s="9"/>
      <c r="F271" s="9" t="s">
        <v>243</v>
      </c>
      <c r="G271" s="9" t="s">
        <v>955</v>
      </c>
      <c r="H271" s="9"/>
      <c r="I271" s="9"/>
      <c r="J271" s="1060"/>
      <c r="K271" s="1060"/>
      <c r="L271" s="1060"/>
      <c r="M271" s="1557"/>
      <c r="N271" s="2503">
        <f>N272</f>
        <v>2743.5610000000006</v>
      </c>
      <c r="O271" s="2504"/>
      <c r="P271" s="2505"/>
      <c r="Q271" s="2506"/>
      <c r="R271" s="2507"/>
      <c r="S271" s="1972"/>
      <c r="T271" s="1972"/>
      <c r="U271" s="1972"/>
      <c r="V271" s="2503">
        <f t="shared" ref="V271:W271" si="171">V272</f>
        <v>1555.6800000000003</v>
      </c>
      <c r="W271" s="2503">
        <f t="shared" si="171"/>
        <v>6778.5990000000002</v>
      </c>
    </row>
    <row r="272" spans="1:256" ht="25.15" customHeight="1" x14ac:dyDescent="0.25">
      <c r="A272" s="32"/>
      <c r="B272" s="1993" t="s">
        <v>4</v>
      </c>
      <c r="C272" s="9"/>
      <c r="D272" s="9" t="s">
        <v>246</v>
      </c>
      <c r="E272" s="9" t="s">
        <v>242</v>
      </c>
      <c r="F272" s="9" t="s">
        <v>243</v>
      </c>
      <c r="G272" s="9" t="s">
        <v>1</v>
      </c>
      <c r="H272" s="9"/>
      <c r="I272" s="9"/>
      <c r="J272" s="1060">
        <f>J274</f>
        <v>1278.5</v>
      </c>
      <c r="K272" s="1060"/>
      <c r="L272" s="1060">
        <v>1278.5</v>
      </c>
      <c r="M272" s="1557">
        <v>1238.5</v>
      </c>
      <c r="N272" s="2503">
        <f>N274</f>
        <v>2743.5610000000006</v>
      </c>
      <c r="O272" s="2504">
        <f>O274</f>
        <v>1250.5</v>
      </c>
      <c r="P272" s="2505">
        <f>P274</f>
        <v>1348</v>
      </c>
      <c r="Q272" s="2506">
        <f>Q274</f>
        <v>3017.4</v>
      </c>
      <c r="R272" s="2507">
        <f>R274</f>
        <v>3338</v>
      </c>
      <c r="S272" s="1972"/>
      <c r="T272" s="1972"/>
      <c r="U272" s="1972"/>
      <c r="V272" s="2503">
        <f>V274</f>
        <v>1555.6800000000003</v>
      </c>
      <c r="W272" s="2503">
        <f>W274</f>
        <v>6778.5990000000002</v>
      </c>
    </row>
    <row r="273" spans="1:26" s="162" customFormat="1" ht="52" hidden="1" x14ac:dyDescent="0.3">
      <c r="A273" s="165"/>
      <c r="B273" s="164" t="s">
        <v>247</v>
      </c>
      <c r="C273" s="33"/>
      <c r="D273" s="33" t="s">
        <v>246</v>
      </c>
      <c r="E273" s="9" t="s">
        <v>242</v>
      </c>
      <c r="F273" s="33" t="s">
        <v>245</v>
      </c>
      <c r="G273" s="31"/>
      <c r="H273" s="31"/>
      <c r="I273" s="9"/>
      <c r="J273" s="1062"/>
      <c r="K273" s="1062"/>
      <c r="L273" s="1062"/>
      <c r="M273" s="1556"/>
      <c r="N273" s="2503"/>
      <c r="O273" s="2504"/>
      <c r="P273" s="2505"/>
      <c r="Q273" s="2506"/>
      <c r="R273" s="2507"/>
      <c r="S273" s="2539"/>
      <c r="T273" s="2539"/>
      <c r="U273" s="2539"/>
      <c r="V273" s="2503"/>
      <c r="W273" s="2503"/>
      <c r="X273" s="163"/>
      <c r="Z273" s="2142"/>
    </row>
    <row r="274" spans="1:26" s="162" customFormat="1" ht="15" x14ac:dyDescent="0.3">
      <c r="A274" s="165"/>
      <c r="B274" s="164" t="s">
        <v>244</v>
      </c>
      <c r="C274" s="33"/>
      <c r="D274" s="33"/>
      <c r="E274" s="9"/>
      <c r="F274" s="9" t="s">
        <v>243</v>
      </c>
      <c r="G274" s="9" t="s">
        <v>1</v>
      </c>
      <c r="H274" s="9" t="s">
        <v>453</v>
      </c>
      <c r="I274" s="9" t="s">
        <v>452</v>
      </c>
      <c r="J274" s="1060">
        <v>1278.5</v>
      </c>
      <c r="K274" s="1060"/>
      <c r="L274" s="1060">
        <v>1278.5</v>
      </c>
      <c r="M274" s="1557">
        <v>1238.5</v>
      </c>
      <c r="N274" s="2503">
        <f>7128-893.9-500-490.539-1500-1000</f>
        <v>2743.5610000000006</v>
      </c>
      <c r="O274" s="2504">
        <v>1250.5</v>
      </c>
      <c r="P274" s="2505">
        <v>1348</v>
      </c>
      <c r="Q274" s="2506">
        <v>3017.4</v>
      </c>
      <c r="R274" s="2507">
        <v>3338</v>
      </c>
      <c r="S274" s="2539"/>
      <c r="T274" s="2539"/>
      <c r="U274" s="2539"/>
      <c r="V274" s="2503">
        <f>7555.68-6000</f>
        <v>1555.6800000000003</v>
      </c>
      <c r="W274" s="2503">
        <v>6778.5990000000002</v>
      </c>
      <c r="X274" s="163"/>
      <c r="Z274" s="2142"/>
    </row>
    <row r="275" spans="1:26" ht="39.65" customHeight="1" x14ac:dyDescent="0.25">
      <c r="A275" s="91">
        <v>4</v>
      </c>
      <c r="B275" s="52" t="s">
        <v>912</v>
      </c>
      <c r="C275" s="34"/>
      <c r="D275" s="34" t="s">
        <v>168</v>
      </c>
      <c r="E275" s="34" t="s">
        <v>166</v>
      </c>
      <c r="F275" s="34" t="s">
        <v>240</v>
      </c>
      <c r="G275" s="131"/>
      <c r="H275" s="131"/>
      <c r="I275" s="34"/>
      <c r="J275" s="51">
        <f>J276+J291</f>
        <v>1182</v>
      </c>
      <c r="K275" s="51"/>
      <c r="L275" s="51">
        <f t="shared" ref="L275:R275" si="172">L276+L291</f>
        <v>1182</v>
      </c>
      <c r="M275" s="1553">
        <f t="shared" si="172"/>
        <v>1022</v>
      </c>
      <c r="N275" s="2944">
        <f>N276+N291</f>
        <v>1074.1489999999999</v>
      </c>
      <c r="O275" s="2945">
        <f t="shared" si="172"/>
        <v>1202</v>
      </c>
      <c r="P275" s="2946">
        <f t="shared" si="172"/>
        <v>676</v>
      </c>
      <c r="Q275" s="2947">
        <f t="shared" si="172"/>
        <v>1202</v>
      </c>
      <c r="R275" s="2948">
        <f t="shared" si="172"/>
        <v>1250.04</v>
      </c>
      <c r="S275" s="2949"/>
      <c r="T275" s="2949"/>
      <c r="U275" s="2949"/>
      <c r="V275" s="2944">
        <f>V276+V291</f>
        <v>792</v>
      </c>
      <c r="W275" s="2944">
        <f>W276+W291</f>
        <v>801</v>
      </c>
    </row>
    <row r="276" spans="1:26" ht="52" x14ac:dyDescent="0.25">
      <c r="A276" s="32"/>
      <c r="B276" s="157" t="s">
        <v>1214</v>
      </c>
      <c r="C276" s="9"/>
      <c r="D276" s="9" t="s">
        <v>168</v>
      </c>
      <c r="E276" s="9" t="s">
        <v>166</v>
      </c>
      <c r="F276" s="9" t="s">
        <v>238</v>
      </c>
      <c r="G276" s="88"/>
      <c r="H276" s="88"/>
      <c r="I276" s="9"/>
      <c r="J276" s="1063">
        <f>J277</f>
        <v>496</v>
      </c>
      <c r="K276" s="1063"/>
      <c r="L276" s="1063">
        <f>L278+L287</f>
        <v>496</v>
      </c>
      <c r="M276" s="1125">
        <f>M278+M287</f>
        <v>336</v>
      </c>
      <c r="N276" s="2509">
        <f>N281+N286</f>
        <v>393.14899999999989</v>
      </c>
      <c r="O276" s="2950">
        <f>O277+O281</f>
        <v>506</v>
      </c>
      <c r="P276" s="2951">
        <f>P277+P281</f>
        <v>646</v>
      </c>
      <c r="Q276" s="2952">
        <f>Q281+Q286</f>
        <v>606</v>
      </c>
      <c r="R276" s="2953">
        <f>R281+R286</f>
        <v>630.20000000000005</v>
      </c>
      <c r="S276" s="2949"/>
      <c r="T276" s="2949"/>
      <c r="U276" s="2949"/>
      <c r="V276" s="2509">
        <f>V281+V286</f>
        <v>550</v>
      </c>
      <c r="W276" s="2509">
        <f>W281+W286</f>
        <v>550</v>
      </c>
    </row>
    <row r="277" spans="1:26" ht="39" hidden="1" x14ac:dyDescent="0.25">
      <c r="A277" s="32"/>
      <c r="B277" s="1093" t="s">
        <v>236</v>
      </c>
      <c r="C277" s="9"/>
      <c r="D277" s="9"/>
      <c r="E277" s="9"/>
      <c r="F277" s="9" t="s">
        <v>235</v>
      </c>
      <c r="G277" s="88"/>
      <c r="H277" s="88"/>
      <c r="I277" s="9"/>
      <c r="J277" s="1063">
        <f>J278+J287</f>
        <v>496</v>
      </c>
      <c r="K277" s="1063"/>
      <c r="L277" s="1063"/>
      <c r="M277" s="1125"/>
      <c r="N277" s="2509">
        <f t="shared" ref="N277:R279" si="173">N278</f>
        <v>0</v>
      </c>
      <c r="O277" s="2950">
        <f t="shared" si="173"/>
        <v>0</v>
      </c>
      <c r="P277" s="2951">
        <f t="shared" si="173"/>
        <v>0</v>
      </c>
      <c r="Q277" s="2952">
        <f t="shared" si="173"/>
        <v>0</v>
      </c>
      <c r="R277" s="2953">
        <f t="shared" si="173"/>
        <v>0</v>
      </c>
      <c r="S277" s="2949"/>
      <c r="T277" s="2949"/>
      <c r="U277" s="2949"/>
      <c r="V277" s="2509">
        <f t="shared" ref="V277:W279" si="174">V278</f>
        <v>0</v>
      </c>
      <c r="W277" s="2509">
        <f t="shared" si="174"/>
        <v>0</v>
      </c>
    </row>
    <row r="278" spans="1:26" ht="26" hidden="1" x14ac:dyDescent="0.25">
      <c r="A278" s="32"/>
      <c r="B278" s="49" t="s">
        <v>237</v>
      </c>
      <c r="C278" s="9"/>
      <c r="D278" s="9" t="s">
        <v>168</v>
      </c>
      <c r="E278" s="9" t="s">
        <v>166</v>
      </c>
      <c r="F278" s="9" t="s">
        <v>233</v>
      </c>
      <c r="G278" s="88"/>
      <c r="H278" s="88"/>
      <c r="I278" s="9"/>
      <c r="J278" s="1063">
        <f>J279</f>
        <v>296</v>
      </c>
      <c r="K278" s="1063"/>
      <c r="L278" s="1063">
        <f>L279</f>
        <v>296</v>
      </c>
      <c r="M278" s="1125">
        <f>M279</f>
        <v>136</v>
      </c>
      <c r="N278" s="2509">
        <f t="shared" si="173"/>
        <v>0</v>
      </c>
      <c r="O278" s="2950">
        <f t="shared" si="173"/>
        <v>0</v>
      </c>
      <c r="P278" s="2951">
        <f t="shared" si="173"/>
        <v>0</v>
      </c>
      <c r="Q278" s="2952">
        <f t="shared" si="173"/>
        <v>0</v>
      </c>
      <c r="R278" s="2953">
        <f t="shared" si="173"/>
        <v>0</v>
      </c>
      <c r="S278" s="2949"/>
      <c r="T278" s="2949"/>
      <c r="U278" s="2949"/>
      <c r="V278" s="2509">
        <f t="shared" si="174"/>
        <v>0</v>
      </c>
      <c r="W278" s="2509">
        <f t="shared" si="174"/>
        <v>0</v>
      </c>
    </row>
    <row r="279" spans="1:26" ht="25.15" hidden="1" customHeight="1" x14ac:dyDescent="0.25">
      <c r="A279" s="32"/>
      <c r="B279" s="1993" t="s">
        <v>4</v>
      </c>
      <c r="C279" s="9"/>
      <c r="D279" s="9" t="s">
        <v>168</v>
      </c>
      <c r="E279" s="9" t="s">
        <v>166</v>
      </c>
      <c r="F279" s="9" t="s">
        <v>233</v>
      </c>
      <c r="G279" s="88">
        <v>240</v>
      </c>
      <c r="H279" s="88"/>
      <c r="I279" s="9"/>
      <c r="J279" s="1063">
        <f>J280</f>
        <v>296</v>
      </c>
      <c r="K279" s="1063"/>
      <c r="L279" s="1063">
        <v>296</v>
      </c>
      <c r="M279" s="1125">
        <v>136</v>
      </c>
      <c r="N279" s="2509">
        <f t="shared" si="173"/>
        <v>0</v>
      </c>
      <c r="O279" s="2950">
        <f t="shared" si="173"/>
        <v>0</v>
      </c>
      <c r="P279" s="2951">
        <f t="shared" si="173"/>
        <v>0</v>
      </c>
      <c r="Q279" s="2952">
        <f t="shared" si="173"/>
        <v>0</v>
      </c>
      <c r="R279" s="2953">
        <f t="shared" si="173"/>
        <v>0</v>
      </c>
      <c r="S279" s="2949"/>
      <c r="T279" s="2949"/>
      <c r="U279" s="2949"/>
      <c r="V279" s="2509">
        <f t="shared" si="174"/>
        <v>0</v>
      </c>
      <c r="W279" s="2509">
        <f t="shared" si="174"/>
        <v>0</v>
      </c>
    </row>
    <row r="280" spans="1:26" ht="26" hidden="1" x14ac:dyDescent="0.3">
      <c r="A280" s="32"/>
      <c r="B280" s="2012" t="s">
        <v>221</v>
      </c>
      <c r="C280" s="9"/>
      <c r="D280" s="9"/>
      <c r="E280" s="9"/>
      <c r="F280" s="9" t="s">
        <v>233</v>
      </c>
      <c r="G280" s="88">
        <v>240</v>
      </c>
      <c r="H280" s="88">
        <v>3</v>
      </c>
      <c r="I280" s="9" t="s">
        <v>539</v>
      </c>
      <c r="J280" s="1063">
        <v>296</v>
      </c>
      <c r="K280" s="1063"/>
      <c r="L280" s="1063">
        <v>296</v>
      </c>
      <c r="M280" s="1125">
        <v>136</v>
      </c>
      <c r="N280" s="2509"/>
      <c r="O280" s="2950"/>
      <c r="P280" s="2951"/>
      <c r="Q280" s="2952"/>
      <c r="R280" s="2953"/>
      <c r="S280" s="2949"/>
      <c r="T280" s="2949"/>
      <c r="U280" s="2949"/>
      <c r="V280" s="2509"/>
      <c r="W280" s="2509"/>
    </row>
    <row r="281" spans="1:26" ht="39" x14ac:dyDescent="0.25">
      <c r="A281" s="32"/>
      <c r="B281" s="1093" t="s">
        <v>236</v>
      </c>
      <c r="C281" s="9"/>
      <c r="D281" s="9"/>
      <c r="E281" s="9"/>
      <c r="F281" s="9" t="s">
        <v>235</v>
      </c>
      <c r="G281" s="88"/>
      <c r="H281" s="88"/>
      <c r="I281" s="9"/>
      <c r="J281" s="1063">
        <f>J287</f>
        <v>200</v>
      </c>
      <c r="K281" s="1063"/>
      <c r="L281" s="1063"/>
      <c r="M281" s="1125"/>
      <c r="N281" s="2509">
        <f>N282</f>
        <v>303.14899999999989</v>
      </c>
      <c r="O281" s="2950">
        <f>O287+O282</f>
        <v>506</v>
      </c>
      <c r="P281" s="2951">
        <f>P287+P282</f>
        <v>646</v>
      </c>
      <c r="Q281" s="2952">
        <f>Q282</f>
        <v>376</v>
      </c>
      <c r="R281" s="2953">
        <f>R282</f>
        <v>391</v>
      </c>
      <c r="S281" s="2949"/>
      <c r="T281" s="2949"/>
      <c r="U281" s="2949"/>
      <c r="V281" s="2509">
        <f>V282</f>
        <v>230</v>
      </c>
      <c r="W281" s="2509">
        <f>W282</f>
        <v>230</v>
      </c>
    </row>
    <row r="282" spans="1:26" ht="26" x14ac:dyDescent="0.25">
      <c r="A282" s="32"/>
      <c r="B282" s="1098" t="s">
        <v>234</v>
      </c>
      <c r="C282" s="9"/>
      <c r="D282" s="9"/>
      <c r="E282" s="9"/>
      <c r="F282" s="9" t="s">
        <v>233</v>
      </c>
      <c r="G282" s="88"/>
      <c r="H282" s="88"/>
      <c r="I282" s="9"/>
      <c r="J282" s="1063"/>
      <c r="K282" s="1063"/>
      <c r="L282" s="1063"/>
      <c r="M282" s="1125"/>
      <c r="N282" s="2509">
        <f>N284</f>
        <v>303.14899999999989</v>
      </c>
      <c r="O282" s="2950">
        <f>O284</f>
        <v>320</v>
      </c>
      <c r="P282" s="2951">
        <f>P284</f>
        <v>340</v>
      </c>
      <c r="Q282" s="2952">
        <f>Q284</f>
        <v>376</v>
      </c>
      <c r="R282" s="2953">
        <f>R284</f>
        <v>391</v>
      </c>
      <c r="S282" s="2949"/>
      <c r="T282" s="2949"/>
      <c r="U282" s="2949"/>
      <c r="V282" s="2509">
        <f>V284</f>
        <v>230</v>
      </c>
      <c r="W282" s="2509">
        <f>W284</f>
        <v>230</v>
      </c>
    </row>
    <row r="283" spans="1:26" ht="26" x14ac:dyDescent="0.25">
      <c r="A283" s="32"/>
      <c r="B283" s="49" t="s">
        <v>1048</v>
      </c>
      <c r="C283" s="9"/>
      <c r="D283" s="9"/>
      <c r="E283" s="9"/>
      <c r="F283" s="9" t="s">
        <v>233</v>
      </c>
      <c r="G283" s="88">
        <v>200</v>
      </c>
      <c r="H283" s="88"/>
      <c r="I283" s="9"/>
      <c r="J283" s="1063"/>
      <c r="K283" s="1063"/>
      <c r="L283" s="1063"/>
      <c r="M283" s="1125"/>
      <c r="N283" s="2509">
        <f>N284</f>
        <v>303.14899999999989</v>
      </c>
      <c r="O283" s="2950"/>
      <c r="P283" s="2951"/>
      <c r="Q283" s="2952"/>
      <c r="R283" s="2953"/>
      <c r="S283" s="2949"/>
      <c r="T283" s="2949"/>
      <c r="U283" s="2949"/>
      <c r="V283" s="2509">
        <f t="shared" ref="V283:W283" si="175">V284</f>
        <v>230</v>
      </c>
      <c r="W283" s="2509">
        <f t="shared" si="175"/>
        <v>230</v>
      </c>
    </row>
    <row r="284" spans="1:26" ht="26" x14ac:dyDescent="0.25">
      <c r="A284" s="32"/>
      <c r="B284" s="1993" t="s">
        <v>4</v>
      </c>
      <c r="C284" s="9"/>
      <c r="D284" s="9"/>
      <c r="E284" s="9"/>
      <c r="F284" s="9" t="s">
        <v>233</v>
      </c>
      <c r="G284" s="88">
        <v>240</v>
      </c>
      <c r="H284" s="88"/>
      <c r="I284" s="9"/>
      <c r="J284" s="1063"/>
      <c r="K284" s="1063"/>
      <c r="L284" s="1063"/>
      <c r="M284" s="1125"/>
      <c r="N284" s="2509">
        <f t="shared" ref="N284:R284" si="176">N285</f>
        <v>303.14899999999989</v>
      </c>
      <c r="O284" s="2950">
        <f t="shared" si="176"/>
        <v>320</v>
      </c>
      <c r="P284" s="2951">
        <f t="shared" si="176"/>
        <v>340</v>
      </c>
      <c r="Q284" s="2952">
        <f t="shared" si="176"/>
        <v>376</v>
      </c>
      <c r="R284" s="2953">
        <f t="shared" si="176"/>
        <v>391</v>
      </c>
      <c r="S284" s="2949"/>
      <c r="T284" s="2949"/>
      <c r="U284" s="2949"/>
      <c r="V284" s="2509">
        <f t="shared" ref="V284:W284" si="177">V285</f>
        <v>230</v>
      </c>
      <c r="W284" s="2509">
        <f t="shared" si="177"/>
        <v>230</v>
      </c>
    </row>
    <row r="285" spans="1:26" ht="26" x14ac:dyDescent="0.3">
      <c r="A285" s="32"/>
      <c r="B285" s="336" t="s">
        <v>1206</v>
      </c>
      <c r="C285" s="9"/>
      <c r="D285" s="9"/>
      <c r="E285" s="9"/>
      <c r="F285" s="9" t="s">
        <v>233</v>
      </c>
      <c r="G285" s="88">
        <v>240</v>
      </c>
      <c r="H285" s="9" t="s">
        <v>495</v>
      </c>
      <c r="I285" s="9" t="s">
        <v>496</v>
      </c>
      <c r="J285" s="1063"/>
      <c r="K285" s="1063"/>
      <c r="L285" s="1063"/>
      <c r="M285" s="1125"/>
      <c r="N285" s="2509">
        <f>1326.82-754.671-269</f>
        <v>303.14899999999989</v>
      </c>
      <c r="O285" s="2950">
        <v>320</v>
      </c>
      <c r="P285" s="2951">
        <v>340</v>
      </c>
      <c r="Q285" s="2952">
        <v>376</v>
      </c>
      <c r="R285" s="2953">
        <v>391</v>
      </c>
      <c r="S285" s="2949"/>
      <c r="T285" s="2949"/>
      <c r="U285" s="2949"/>
      <c r="V285" s="2509">
        <v>230</v>
      </c>
      <c r="W285" s="2509">
        <v>230</v>
      </c>
    </row>
    <row r="286" spans="1:26" ht="17.5" customHeight="1" x14ac:dyDescent="0.25">
      <c r="A286" s="32"/>
      <c r="B286" s="1093" t="s">
        <v>232</v>
      </c>
      <c r="C286" s="9"/>
      <c r="D286" s="9"/>
      <c r="E286" s="9"/>
      <c r="F286" s="9" t="s">
        <v>231</v>
      </c>
      <c r="G286" s="88"/>
      <c r="H286" s="88"/>
      <c r="I286" s="9"/>
      <c r="J286" s="1063"/>
      <c r="K286" s="1063"/>
      <c r="L286" s="1063"/>
      <c r="M286" s="1125"/>
      <c r="N286" s="2509">
        <f>N290</f>
        <v>90</v>
      </c>
      <c r="O286" s="2950">
        <f t="shared" ref="N286:R289" si="178">O287</f>
        <v>186</v>
      </c>
      <c r="P286" s="2951">
        <f t="shared" si="178"/>
        <v>306</v>
      </c>
      <c r="Q286" s="2952">
        <f t="shared" si="178"/>
        <v>230</v>
      </c>
      <c r="R286" s="2953">
        <f t="shared" si="178"/>
        <v>239.2</v>
      </c>
      <c r="S286" s="2949"/>
      <c r="T286" s="2949"/>
      <c r="U286" s="2949"/>
      <c r="V286" s="2509">
        <f>V290</f>
        <v>320</v>
      </c>
      <c r="W286" s="2509">
        <f>W290</f>
        <v>320</v>
      </c>
    </row>
    <row r="287" spans="1:26" ht="13" x14ac:dyDescent="0.25">
      <c r="A287" s="32"/>
      <c r="B287" s="1098" t="s">
        <v>230</v>
      </c>
      <c r="C287" s="9"/>
      <c r="D287" s="9" t="s">
        <v>168</v>
      </c>
      <c r="E287" s="9" t="s">
        <v>166</v>
      </c>
      <c r="F287" s="9" t="s">
        <v>229</v>
      </c>
      <c r="G287" s="88"/>
      <c r="H287" s="88"/>
      <c r="I287" s="9"/>
      <c r="J287" s="1063">
        <f>J289</f>
        <v>200</v>
      </c>
      <c r="K287" s="1063"/>
      <c r="L287" s="1063">
        <f t="shared" ref="L287:R287" si="179">L289</f>
        <v>200</v>
      </c>
      <c r="M287" s="1125">
        <f t="shared" si="179"/>
        <v>200</v>
      </c>
      <c r="N287" s="2509">
        <f t="shared" si="179"/>
        <v>90</v>
      </c>
      <c r="O287" s="2950">
        <f t="shared" si="179"/>
        <v>186</v>
      </c>
      <c r="P287" s="2951">
        <f t="shared" si="179"/>
        <v>306</v>
      </c>
      <c r="Q287" s="2952">
        <f t="shared" si="179"/>
        <v>230</v>
      </c>
      <c r="R287" s="2953">
        <f t="shared" si="179"/>
        <v>239.2</v>
      </c>
      <c r="S287" s="2949"/>
      <c r="T287" s="2949"/>
      <c r="U287" s="2949"/>
      <c r="V287" s="2509">
        <f>V289</f>
        <v>320</v>
      </c>
      <c r="W287" s="2509">
        <f>W289</f>
        <v>320</v>
      </c>
    </row>
    <row r="288" spans="1:26" ht="26" x14ac:dyDescent="0.25">
      <c r="A288" s="32"/>
      <c r="B288" s="49" t="s">
        <v>1048</v>
      </c>
      <c r="C288" s="9"/>
      <c r="D288" s="9"/>
      <c r="E288" s="9"/>
      <c r="F288" s="9" t="s">
        <v>229</v>
      </c>
      <c r="G288" s="88">
        <v>200</v>
      </c>
      <c r="H288" s="88"/>
      <c r="I288" s="9"/>
      <c r="J288" s="1063"/>
      <c r="K288" s="1063"/>
      <c r="L288" s="1063"/>
      <c r="M288" s="1125"/>
      <c r="N288" s="2509">
        <f>N289</f>
        <v>90</v>
      </c>
      <c r="O288" s="2950"/>
      <c r="P288" s="2951"/>
      <c r="Q288" s="2952"/>
      <c r="R288" s="2953"/>
      <c r="S288" s="2949"/>
      <c r="T288" s="2949"/>
      <c r="U288" s="2949"/>
      <c r="V288" s="2509">
        <f t="shared" ref="V288:W288" si="180">V289</f>
        <v>320</v>
      </c>
      <c r="W288" s="2509">
        <f t="shared" si="180"/>
        <v>320</v>
      </c>
    </row>
    <row r="289" spans="1:26" ht="25.15" customHeight="1" x14ac:dyDescent="0.25">
      <c r="A289" s="32"/>
      <c r="B289" s="1993" t="s">
        <v>4</v>
      </c>
      <c r="C289" s="9"/>
      <c r="D289" s="9" t="s">
        <v>168</v>
      </c>
      <c r="E289" s="9" t="s">
        <v>166</v>
      </c>
      <c r="F289" s="9" t="s">
        <v>229</v>
      </c>
      <c r="G289" s="88">
        <v>240</v>
      </c>
      <c r="H289" s="88"/>
      <c r="I289" s="9"/>
      <c r="J289" s="1063">
        <f>J290</f>
        <v>200</v>
      </c>
      <c r="K289" s="1063"/>
      <c r="L289" s="1063">
        <v>200</v>
      </c>
      <c r="M289" s="1125">
        <v>200</v>
      </c>
      <c r="N289" s="2509">
        <f t="shared" si="178"/>
        <v>90</v>
      </c>
      <c r="O289" s="2950">
        <f t="shared" si="178"/>
        <v>186</v>
      </c>
      <c r="P289" s="2951">
        <f t="shared" si="178"/>
        <v>306</v>
      </c>
      <c r="Q289" s="2952">
        <f t="shared" si="178"/>
        <v>230</v>
      </c>
      <c r="R289" s="2953">
        <f t="shared" si="178"/>
        <v>239.2</v>
      </c>
      <c r="S289" s="2949"/>
      <c r="T289" s="2949"/>
      <c r="U289" s="2949"/>
      <c r="V289" s="2509">
        <f t="shared" ref="V289:W289" si="181">V290</f>
        <v>320</v>
      </c>
      <c r="W289" s="2509">
        <f t="shared" si="181"/>
        <v>320</v>
      </c>
    </row>
    <row r="290" spans="1:26" ht="26" x14ac:dyDescent="0.3">
      <c r="A290" s="32"/>
      <c r="B290" s="336" t="s">
        <v>1206</v>
      </c>
      <c r="C290" s="9"/>
      <c r="D290" s="9"/>
      <c r="E290" s="9"/>
      <c r="F290" s="9" t="s">
        <v>229</v>
      </c>
      <c r="G290" s="88">
        <v>240</v>
      </c>
      <c r="H290" s="9" t="s">
        <v>495</v>
      </c>
      <c r="I290" s="9" t="s">
        <v>496</v>
      </c>
      <c r="J290" s="1063">
        <v>200</v>
      </c>
      <c r="K290" s="1063"/>
      <c r="L290" s="1063">
        <v>200</v>
      </c>
      <c r="M290" s="1125">
        <v>200</v>
      </c>
      <c r="N290" s="2509">
        <f>270-60-120</f>
        <v>90</v>
      </c>
      <c r="O290" s="2950">
        <v>186</v>
      </c>
      <c r="P290" s="2951">
        <v>306</v>
      </c>
      <c r="Q290" s="2952">
        <v>230</v>
      </c>
      <c r="R290" s="2953">
        <v>239.2</v>
      </c>
      <c r="S290" s="2949"/>
      <c r="T290" s="2949"/>
      <c r="U290" s="2949"/>
      <c r="V290" s="2509">
        <v>320</v>
      </c>
      <c r="W290" s="2509">
        <v>320</v>
      </c>
    </row>
    <row r="291" spans="1:26" ht="52" x14ac:dyDescent="0.25">
      <c r="A291" s="32"/>
      <c r="B291" s="157" t="s">
        <v>783</v>
      </c>
      <c r="C291" s="34"/>
      <c r="D291" s="9" t="s">
        <v>168</v>
      </c>
      <c r="E291" s="9" t="s">
        <v>166</v>
      </c>
      <c r="F291" s="9" t="s">
        <v>227</v>
      </c>
      <c r="G291" s="9"/>
      <c r="H291" s="9"/>
      <c r="I291" s="9"/>
      <c r="J291" s="1063">
        <f>J293</f>
        <v>686</v>
      </c>
      <c r="K291" s="1063"/>
      <c r="L291" s="1063">
        <f>L293</f>
        <v>686</v>
      </c>
      <c r="M291" s="1125">
        <f>M293</f>
        <v>686</v>
      </c>
      <c r="N291" s="2509">
        <f t="shared" ref="N291:R292" si="182">N292</f>
        <v>681</v>
      </c>
      <c r="O291" s="2950">
        <f t="shared" si="182"/>
        <v>696</v>
      </c>
      <c r="P291" s="2951">
        <f t="shared" si="182"/>
        <v>30</v>
      </c>
      <c r="Q291" s="2952">
        <f t="shared" si="182"/>
        <v>596</v>
      </c>
      <c r="R291" s="2953">
        <f t="shared" si="182"/>
        <v>619.84</v>
      </c>
      <c r="S291" s="2949"/>
      <c r="T291" s="2949"/>
      <c r="U291" s="2949"/>
      <c r="V291" s="2509">
        <f t="shared" ref="V291:W292" si="183">V292</f>
        <v>242</v>
      </c>
      <c r="W291" s="2509">
        <f t="shared" si="183"/>
        <v>251</v>
      </c>
    </row>
    <row r="292" spans="1:26" ht="39" x14ac:dyDescent="0.25">
      <c r="A292" s="32"/>
      <c r="B292" s="1093" t="s">
        <v>226</v>
      </c>
      <c r="C292" s="34"/>
      <c r="D292" s="9"/>
      <c r="E292" s="9"/>
      <c r="F292" s="9" t="s">
        <v>225</v>
      </c>
      <c r="G292" s="9"/>
      <c r="H292" s="9"/>
      <c r="I292" s="9"/>
      <c r="J292" s="1063">
        <f>J291</f>
        <v>686</v>
      </c>
      <c r="K292" s="1063"/>
      <c r="L292" s="1063"/>
      <c r="M292" s="1125"/>
      <c r="N292" s="2509">
        <f t="shared" si="182"/>
        <v>681</v>
      </c>
      <c r="O292" s="2950">
        <f t="shared" si="182"/>
        <v>696</v>
      </c>
      <c r="P292" s="2951">
        <f t="shared" si="182"/>
        <v>30</v>
      </c>
      <c r="Q292" s="2952">
        <f t="shared" si="182"/>
        <v>596</v>
      </c>
      <c r="R292" s="2953">
        <f t="shared" si="182"/>
        <v>619.84</v>
      </c>
      <c r="S292" s="2949"/>
      <c r="T292" s="2949"/>
      <c r="U292" s="2949"/>
      <c r="V292" s="2509">
        <f t="shared" si="183"/>
        <v>242</v>
      </c>
      <c r="W292" s="2509">
        <f t="shared" si="183"/>
        <v>251</v>
      </c>
    </row>
    <row r="293" spans="1:26" ht="13" x14ac:dyDescent="0.25">
      <c r="A293" s="32"/>
      <c r="B293" s="1098" t="s">
        <v>224</v>
      </c>
      <c r="C293" s="34"/>
      <c r="D293" s="9" t="s">
        <v>168</v>
      </c>
      <c r="E293" s="9" t="s">
        <v>166</v>
      </c>
      <c r="F293" s="9" t="s">
        <v>220</v>
      </c>
      <c r="G293" s="34"/>
      <c r="H293" s="34"/>
      <c r="I293" s="9"/>
      <c r="J293" s="1063">
        <f>J296</f>
        <v>686</v>
      </c>
      <c r="K293" s="1063"/>
      <c r="L293" s="1063">
        <f t="shared" ref="L293:R293" si="184">L296</f>
        <v>686</v>
      </c>
      <c r="M293" s="1125">
        <f t="shared" si="184"/>
        <v>686</v>
      </c>
      <c r="N293" s="2509">
        <f t="shared" si="184"/>
        <v>681</v>
      </c>
      <c r="O293" s="2950">
        <f t="shared" si="184"/>
        <v>696</v>
      </c>
      <c r="P293" s="2951">
        <f t="shared" si="184"/>
        <v>30</v>
      </c>
      <c r="Q293" s="2952">
        <f t="shared" si="184"/>
        <v>596</v>
      </c>
      <c r="R293" s="2953">
        <f t="shared" si="184"/>
        <v>619.84</v>
      </c>
      <c r="S293" s="2949"/>
      <c r="T293" s="2949"/>
      <c r="U293" s="2949"/>
      <c r="V293" s="2509">
        <f t="shared" ref="V293:W293" si="185">V296</f>
        <v>242</v>
      </c>
      <c r="W293" s="2509">
        <f t="shared" si="185"/>
        <v>251</v>
      </c>
    </row>
    <row r="294" spans="1:26" ht="40.5" hidden="1" customHeight="1" x14ac:dyDescent="0.25">
      <c r="A294" s="32"/>
      <c r="B294" s="42" t="s">
        <v>223</v>
      </c>
      <c r="C294" s="160"/>
      <c r="D294" s="31" t="s">
        <v>168</v>
      </c>
      <c r="E294" s="31" t="s">
        <v>166</v>
      </c>
      <c r="F294" s="31" t="s">
        <v>222</v>
      </c>
      <c r="G294" s="161"/>
      <c r="H294" s="161"/>
      <c r="I294" s="31" t="s">
        <v>166</v>
      </c>
      <c r="J294" s="1069"/>
      <c r="K294" s="1069"/>
      <c r="L294" s="1069"/>
      <c r="M294" s="1436"/>
      <c r="N294" s="2509"/>
      <c r="O294" s="2950"/>
      <c r="P294" s="2950"/>
      <c r="Q294" s="2954"/>
      <c r="R294" s="2953"/>
      <c r="S294" s="2949"/>
      <c r="T294" s="2949"/>
      <c r="U294" s="2949"/>
      <c r="V294" s="2509"/>
      <c r="W294" s="2509"/>
    </row>
    <row r="295" spans="1:26" ht="40.5" customHeight="1" x14ac:dyDescent="0.25">
      <c r="A295" s="32"/>
      <c r="B295" s="49" t="s">
        <v>1048</v>
      </c>
      <c r="C295" s="160"/>
      <c r="D295" s="31"/>
      <c r="E295" s="31"/>
      <c r="F295" s="9" t="s">
        <v>220</v>
      </c>
      <c r="G295" s="88">
        <v>200</v>
      </c>
      <c r="H295" s="161"/>
      <c r="I295" s="31"/>
      <c r="J295" s="1069"/>
      <c r="K295" s="1069"/>
      <c r="L295" s="1069"/>
      <c r="M295" s="1436"/>
      <c r="N295" s="2509">
        <f>N296</f>
        <v>681</v>
      </c>
      <c r="O295" s="2950"/>
      <c r="P295" s="2950"/>
      <c r="Q295" s="2954"/>
      <c r="R295" s="2953"/>
      <c r="S295" s="2949"/>
      <c r="T295" s="2949"/>
      <c r="U295" s="2949"/>
      <c r="V295" s="2509">
        <f t="shared" ref="V295:W295" si="186">V296</f>
        <v>242</v>
      </c>
      <c r="W295" s="2509">
        <f t="shared" si="186"/>
        <v>251</v>
      </c>
    </row>
    <row r="296" spans="1:26" ht="25.15" customHeight="1" x14ac:dyDescent="0.25">
      <c r="A296" s="32"/>
      <c r="B296" s="1993" t="s">
        <v>4</v>
      </c>
      <c r="C296" s="160"/>
      <c r="D296" s="9" t="s">
        <v>168</v>
      </c>
      <c r="E296" s="9" t="s">
        <v>166</v>
      </c>
      <c r="F296" s="9" t="s">
        <v>220</v>
      </c>
      <c r="G296" s="33" t="s">
        <v>1</v>
      </c>
      <c r="H296" s="33"/>
      <c r="I296" s="9"/>
      <c r="J296" s="1063">
        <v>686</v>
      </c>
      <c r="K296" s="1069"/>
      <c r="L296" s="1063">
        <v>686</v>
      </c>
      <c r="M296" s="1125">
        <v>686</v>
      </c>
      <c r="N296" s="2509">
        <f>N297</f>
        <v>681</v>
      </c>
      <c r="O296" s="2950">
        <f>O297</f>
        <v>696</v>
      </c>
      <c r="P296" s="2951">
        <f>P297</f>
        <v>30</v>
      </c>
      <c r="Q296" s="2952">
        <f>Q297</f>
        <v>596</v>
      </c>
      <c r="R296" s="2953">
        <f>R297</f>
        <v>619.84</v>
      </c>
      <c r="S296" s="2949"/>
      <c r="T296" s="2949"/>
      <c r="U296" s="2949"/>
      <c r="V296" s="2509">
        <f>V297</f>
        <v>242</v>
      </c>
      <c r="W296" s="2509">
        <f>W297</f>
        <v>251</v>
      </c>
    </row>
    <row r="297" spans="1:26" ht="27.65" customHeight="1" x14ac:dyDescent="0.3">
      <c r="A297" s="32"/>
      <c r="B297" s="336" t="s">
        <v>221</v>
      </c>
      <c r="C297" s="160"/>
      <c r="D297" s="9"/>
      <c r="E297" s="9"/>
      <c r="F297" s="9" t="s">
        <v>220</v>
      </c>
      <c r="G297" s="33" t="s">
        <v>1</v>
      </c>
      <c r="H297" s="9" t="s">
        <v>495</v>
      </c>
      <c r="I297" s="9" t="s">
        <v>496</v>
      </c>
      <c r="J297" s="1063">
        <v>686</v>
      </c>
      <c r="K297" s="1069"/>
      <c r="L297" s="1063">
        <v>686</v>
      </c>
      <c r="M297" s="1125">
        <v>686</v>
      </c>
      <c r="N297" s="2509">
        <f>232+269+60+120</f>
        <v>681</v>
      </c>
      <c r="O297" s="2950">
        <v>696</v>
      </c>
      <c r="P297" s="2951">
        <v>30</v>
      </c>
      <c r="Q297" s="2952">
        <v>596</v>
      </c>
      <c r="R297" s="2953">
        <v>619.84</v>
      </c>
      <c r="S297" s="2949"/>
      <c r="T297" s="2949"/>
      <c r="U297" s="2949"/>
      <c r="V297" s="2509">
        <v>242</v>
      </c>
      <c r="W297" s="2509">
        <v>251</v>
      </c>
    </row>
    <row r="298" spans="1:26" s="83" customFormat="1" ht="38.25" customHeight="1" x14ac:dyDescent="0.3">
      <c r="A298" s="91">
        <v>5</v>
      </c>
      <c r="B298" s="52" t="s">
        <v>914</v>
      </c>
      <c r="C298" s="89"/>
      <c r="D298" s="89" t="s">
        <v>52</v>
      </c>
      <c r="E298" s="89" t="s">
        <v>58</v>
      </c>
      <c r="F298" s="89" t="s">
        <v>218</v>
      </c>
      <c r="G298" s="131"/>
      <c r="H298" s="131"/>
      <c r="I298" s="89"/>
      <c r="J298" s="51">
        <f>J299+J318</f>
        <v>1600</v>
      </c>
      <c r="K298" s="158"/>
      <c r="L298" s="51">
        <f t="shared" ref="L298:R298" si="187">L299+L318</f>
        <v>11444.685000000001</v>
      </c>
      <c r="M298" s="1553">
        <f t="shared" si="187"/>
        <v>14038.547</v>
      </c>
      <c r="N298" s="2944">
        <f t="shared" si="187"/>
        <v>14084.679490000002</v>
      </c>
      <c r="O298" s="2945">
        <f t="shared" si="187"/>
        <v>5740</v>
      </c>
      <c r="P298" s="2946">
        <f t="shared" si="187"/>
        <v>5980</v>
      </c>
      <c r="Q298" s="2947">
        <f t="shared" si="187"/>
        <v>3908.3220000000001</v>
      </c>
      <c r="R298" s="2948">
        <f t="shared" si="187"/>
        <v>3021.3209999999999</v>
      </c>
      <c r="S298" s="2955"/>
      <c r="T298" s="2955"/>
      <c r="U298" s="2955"/>
      <c r="V298" s="2944">
        <f t="shared" ref="V298:W298" si="188">V299+V318</f>
        <v>29307.916209999999</v>
      </c>
      <c r="W298" s="2944">
        <f t="shared" si="188"/>
        <v>1941.52</v>
      </c>
      <c r="X298" s="84"/>
      <c r="Z298" s="2141"/>
    </row>
    <row r="299" spans="1:26" s="83" customFormat="1" ht="26" x14ac:dyDescent="0.3">
      <c r="A299" s="85"/>
      <c r="B299" s="157" t="s">
        <v>217</v>
      </c>
      <c r="C299" s="33"/>
      <c r="D299" s="33" t="s">
        <v>52</v>
      </c>
      <c r="E299" s="33" t="s">
        <v>58</v>
      </c>
      <c r="F299" s="33" t="s">
        <v>216</v>
      </c>
      <c r="G299" s="33"/>
      <c r="H299" s="33"/>
      <c r="I299" s="33"/>
      <c r="J299" s="1061">
        <f>J300</f>
        <v>800</v>
      </c>
      <c r="K299" s="1063"/>
      <c r="L299" s="1063">
        <f>L301</f>
        <v>10777.685000000001</v>
      </c>
      <c r="M299" s="1550">
        <f>M301</f>
        <v>13305.547</v>
      </c>
      <c r="N299" s="2509">
        <f>N300</f>
        <v>13164.479490000002</v>
      </c>
      <c r="O299" s="2950">
        <f>O300</f>
        <v>0</v>
      </c>
      <c r="P299" s="2951">
        <f>P300</f>
        <v>0</v>
      </c>
      <c r="Q299" s="2952">
        <f>Q300</f>
        <v>1726.1220000000001</v>
      </c>
      <c r="R299" s="2953">
        <f>R300</f>
        <v>1726.1220000000001</v>
      </c>
      <c r="S299" s="2955"/>
      <c r="T299" s="2955"/>
      <c r="U299" s="2955"/>
      <c r="V299" s="2509">
        <f>V300</f>
        <v>29307.916209999999</v>
      </c>
      <c r="W299" s="2509">
        <f>W300</f>
        <v>948.3</v>
      </c>
      <c r="X299" s="84"/>
      <c r="Z299" s="2141"/>
    </row>
    <row r="300" spans="1:26" s="83" customFormat="1" ht="59.15" customHeight="1" x14ac:dyDescent="0.3">
      <c r="A300" s="85"/>
      <c r="B300" s="1093" t="s">
        <v>1040</v>
      </c>
      <c r="C300" s="33"/>
      <c r="D300" s="33"/>
      <c r="E300" s="33"/>
      <c r="F300" s="33" t="s">
        <v>214</v>
      </c>
      <c r="G300" s="89"/>
      <c r="H300" s="89"/>
      <c r="I300" s="33"/>
      <c r="J300" s="1061">
        <f>J304+J309+J313+J317</f>
        <v>800</v>
      </c>
      <c r="K300" s="1063"/>
      <c r="L300" s="1063"/>
      <c r="M300" s="1550"/>
      <c r="N300" s="2520">
        <f>N304+N309+N317+N313</f>
        <v>13164.479490000002</v>
      </c>
      <c r="O300" s="2931">
        <f>O304+O309+O317</f>
        <v>0</v>
      </c>
      <c r="P300" s="2932">
        <f>P304+P309+P317</f>
        <v>0</v>
      </c>
      <c r="Q300" s="2618">
        <f>Q304+Q309+Q317</f>
        <v>1726.1220000000001</v>
      </c>
      <c r="R300" s="2619">
        <f>R304+R309+R317</f>
        <v>1726.1220000000001</v>
      </c>
      <c r="S300" s="2939"/>
      <c r="T300" s="2939"/>
      <c r="U300" s="2939"/>
      <c r="V300" s="2520">
        <f>V304+V309+V317+V313</f>
        <v>29307.916209999999</v>
      </c>
      <c r="W300" s="2520">
        <f>W304+W309+W317</f>
        <v>948.3</v>
      </c>
      <c r="X300" s="84"/>
      <c r="Z300" s="2141"/>
    </row>
    <row r="301" spans="1:26" s="83" customFormat="1" ht="13" hidden="1" x14ac:dyDescent="0.3">
      <c r="A301" s="85"/>
      <c r="B301" s="1098" t="s">
        <v>201</v>
      </c>
      <c r="C301" s="33"/>
      <c r="D301" s="33" t="s">
        <v>52</v>
      </c>
      <c r="E301" s="33" t="s">
        <v>58</v>
      </c>
      <c r="F301" s="33" t="s">
        <v>213</v>
      </c>
      <c r="G301" s="33"/>
      <c r="H301" s="33"/>
      <c r="I301" s="33"/>
      <c r="J301" s="1061">
        <f>J303</f>
        <v>0</v>
      </c>
      <c r="K301" s="1063"/>
      <c r="L301" s="1061">
        <f>L307</f>
        <v>10777.685000000001</v>
      </c>
      <c r="M301" s="1550">
        <f>M307</f>
        <v>13305.547</v>
      </c>
      <c r="N301" s="2520">
        <f>N303</f>
        <v>0</v>
      </c>
      <c r="O301" s="2931">
        <f>O303</f>
        <v>0</v>
      </c>
      <c r="P301" s="2932">
        <f>P303</f>
        <v>0</v>
      </c>
      <c r="Q301" s="2618">
        <f>Q303</f>
        <v>0</v>
      </c>
      <c r="R301" s="2619">
        <f>R303</f>
        <v>0</v>
      </c>
      <c r="S301" s="2939"/>
      <c r="T301" s="2939"/>
      <c r="U301" s="2939"/>
      <c r="V301" s="2520">
        <f>V303</f>
        <v>0</v>
      </c>
      <c r="W301" s="2520">
        <f>W303</f>
        <v>0</v>
      </c>
      <c r="X301" s="84"/>
      <c r="Z301" s="2141"/>
    </row>
    <row r="302" spans="1:26" s="83" customFormat="1" ht="26" hidden="1" x14ac:dyDescent="0.3">
      <c r="A302" s="85"/>
      <c r="B302" s="49" t="s">
        <v>1048</v>
      </c>
      <c r="C302" s="33"/>
      <c r="D302" s="33"/>
      <c r="E302" s="33"/>
      <c r="F302" s="33" t="s">
        <v>213</v>
      </c>
      <c r="G302" s="33" t="s">
        <v>955</v>
      </c>
      <c r="H302" s="33"/>
      <c r="I302" s="33"/>
      <c r="J302" s="1061"/>
      <c r="K302" s="1063"/>
      <c r="L302" s="1061"/>
      <c r="M302" s="1550"/>
      <c r="N302" s="2520">
        <f>N303</f>
        <v>0</v>
      </c>
      <c r="O302" s="2931"/>
      <c r="P302" s="2932"/>
      <c r="Q302" s="2618"/>
      <c r="R302" s="2619"/>
      <c r="S302" s="2939"/>
      <c r="T302" s="2939"/>
      <c r="U302" s="2939"/>
      <c r="V302" s="2520">
        <f>V303</f>
        <v>0</v>
      </c>
      <c r="W302" s="2520">
        <f>W303</f>
        <v>0</v>
      </c>
      <c r="X302" s="84"/>
      <c r="Z302" s="2141"/>
    </row>
    <row r="303" spans="1:26" s="83" customFormat="1" ht="26" hidden="1" x14ac:dyDescent="0.3">
      <c r="A303" s="85"/>
      <c r="B303" s="1993" t="s">
        <v>4</v>
      </c>
      <c r="C303" s="33"/>
      <c r="D303" s="33"/>
      <c r="E303" s="33"/>
      <c r="F303" s="33" t="s">
        <v>213</v>
      </c>
      <c r="G303" s="33" t="s">
        <v>1</v>
      </c>
      <c r="H303" s="33"/>
      <c r="I303" s="33"/>
      <c r="J303" s="1061">
        <f>J304</f>
        <v>0</v>
      </c>
      <c r="K303" s="1063"/>
      <c r="L303" s="1061"/>
      <c r="M303" s="1550"/>
      <c r="N303" s="2520">
        <v>0</v>
      </c>
      <c r="O303" s="2931">
        <f t="shared" ref="O303:R303" si="189">O304</f>
        <v>0</v>
      </c>
      <c r="P303" s="2932">
        <f t="shared" si="189"/>
        <v>0</v>
      </c>
      <c r="Q303" s="2618">
        <f t="shared" si="189"/>
        <v>0</v>
      </c>
      <c r="R303" s="2619">
        <f t="shared" si="189"/>
        <v>0</v>
      </c>
      <c r="S303" s="2939"/>
      <c r="T303" s="2939"/>
      <c r="U303" s="2939"/>
      <c r="V303" s="2520">
        <f t="shared" ref="V303:W303" si="190">V304</f>
        <v>0</v>
      </c>
      <c r="W303" s="2520">
        <f t="shared" si="190"/>
        <v>0</v>
      </c>
      <c r="X303" s="84"/>
      <c r="Z303" s="2141"/>
    </row>
    <row r="304" spans="1:26" s="83" customFormat="1" ht="13" hidden="1" x14ac:dyDescent="0.3">
      <c r="A304" s="85"/>
      <c r="B304" s="744" t="s">
        <v>60</v>
      </c>
      <c r="C304" s="33"/>
      <c r="D304" s="33"/>
      <c r="E304" s="33"/>
      <c r="F304" s="33" t="s">
        <v>213</v>
      </c>
      <c r="G304" s="33" t="s">
        <v>1</v>
      </c>
      <c r="H304" s="9" t="s">
        <v>452</v>
      </c>
      <c r="I304" s="9" t="s">
        <v>539</v>
      </c>
      <c r="J304" s="1061"/>
      <c r="K304" s="1063"/>
      <c r="L304" s="1061"/>
      <c r="M304" s="1550"/>
      <c r="N304" s="2520">
        <v>0</v>
      </c>
      <c r="O304" s="2931"/>
      <c r="P304" s="2932"/>
      <c r="Q304" s="2618"/>
      <c r="R304" s="2619"/>
      <c r="S304" s="2939"/>
      <c r="T304" s="2939"/>
      <c r="U304" s="2939"/>
      <c r="V304" s="2520">
        <v>0</v>
      </c>
      <c r="W304" s="2520">
        <v>0</v>
      </c>
      <c r="X304" s="84"/>
      <c r="Z304" s="2141"/>
    </row>
    <row r="305" spans="1:26" s="83" customFormat="1" ht="26" x14ac:dyDescent="0.3">
      <c r="A305" s="85"/>
      <c r="B305" s="1098" t="s">
        <v>212</v>
      </c>
      <c r="C305" s="33"/>
      <c r="D305" s="33"/>
      <c r="E305" s="33"/>
      <c r="F305" s="33" t="s">
        <v>984</v>
      </c>
      <c r="G305" s="33"/>
      <c r="H305" s="33"/>
      <c r="I305" s="33"/>
      <c r="J305" s="1061">
        <f>J307</f>
        <v>800</v>
      </c>
      <c r="K305" s="1063"/>
      <c r="L305" s="1061"/>
      <c r="M305" s="1550"/>
      <c r="N305" s="2520">
        <f>N307</f>
        <v>725</v>
      </c>
      <c r="O305" s="2931">
        <f>O307</f>
        <v>0</v>
      </c>
      <c r="P305" s="2932">
        <f>P307</f>
        <v>0</v>
      </c>
      <c r="Q305" s="2618">
        <f>Q307</f>
        <v>1726.1220000000001</v>
      </c>
      <c r="R305" s="2619">
        <f>R307</f>
        <v>1726.1220000000001</v>
      </c>
      <c r="S305" s="2939"/>
      <c r="T305" s="2939"/>
      <c r="U305" s="2939"/>
      <c r="V305" s="2520">
        <f>V307</f>
        <v>0</v>
      </c>
      <c r="W305" s="2520">
        <f>W307</f>
        <v>0</v>
      </c>
      <c r="X305" s="84"/>
      <c r="Z305" s="2141"/>
    </row>
    <row r="306" spans="1:26" s="83" customFormat="1" ht="26" x14ac:dyDescent="0.3">
      <c r="A306" s="85"/>
      <c r="B306" s="49" t="s">
        <v>1048</v>
      </c>
      <c r="C306" s="33"/>
      <c r="D306" s="33"/>
      <c r="E306" s="33"/>
      <c r="F306" s="33" t="s">
        <v>984</v>
      </c>
      <c r="G306" s="33" t="s">
        <v>955</v>
      </c>
      <c r="H306" s="33"/>
      <c r="I306" s="33"/>
      <c r="J306" s="1061"/>
      <c r="K306" s="1063"/>
      <c r="L306" s="1061"/>
      <c r="M306" s="1550"/>
      <c r="N306" s="2520">
        <f>N307</f>
        <v>725</v>
      </c>
      <c r="O306" s="2931"/>
      <c r="P306" s="2932"/>
      <c r="Q306" s="2618"/>
      <c r="R306" s="2619"/>
      <c r="S306" s="2939"/>
      <c r="T306" s="2939"/>
      <c r="U306" s="2939"/>
      <c r="V306" s="2520">
        <f>V307</f>
        <v>0</v>
      </c>
      <c r="W306" s="2520">
        <f>W307</f>
        <v>0</v>
      </c>
      <c r="X306" s="84"/>
      <c r="Z306" s="2141"/>
    </row>
    <row r="307" spans="1:26" s="83" customFormat="1" ht="25.15" customHeight="1" x14ac:dyDescent="0.3">
      <c r="A307" s="85"/>
      <c r="B307" s="1993" t="s">
        <v>4</v>
      </c>
      <c r="C307" s="33"/>
      <c r="D307" s="33" t="s">
        <v>52</v>
      </c>
      <c r="E307" s="33" t="s">
        <v>58</v>
      </c>
      <c r="F307" s="33" t="s">
        <v>984</v>
      </c>
      <c r="G307" s="33" t="s">
        <v>1</v>
      </c>
      <c r="H307" s="33"/>
      <c r="I307" s="33"/>
      <c r="J307" s="1061">
        <f>J309</f>
        <v>800</v>
      </c>
      <c r="K307" s="1063"/>
      <c r="L307" s="1061">
        <f>22480.2-11702.515</f>
        <v>10777.685000000001</v>
      </c>
      <c r="M307" s="1550">
        <v>13305.547</v>
      </c>
      <c r="N307" s="2520">
        <f>N309</f>
        <v>725</v>
      </c>
      <c r="O307" s="2931">
        <f>O309</f>
        <v>0</v>
      </c>
      <c r="P307" s="2932">
        <f>P309</f>
        <v>0</v>
      </c>
      <c r="Q307" s="2618">
        <f>Q309</f>
        <v>1726.1220000000001</v>
      </c>
      <c r="R307" s="2619">
        <f>R309</f>
        <v>1726.1220000000001</v>
      </c>
      <c r="S307" s="2939"/>
      <c r="T307" s="2939"/>
      <c r="U307" s="2939"/>
      <c r="V307" s="2520">
        <f>V309</f>
        <v>0</v>
      </c>
      <c r="W307" s="2520">
        <f>W309</f>
        <v>0</v>
      </c>
      <c r="X307" s="84"/>
      <c r="Z307" s="2141"/>
    </row>
    <row r="308" spans="1:26" s="83" customFormat="1" ht="52" hidden="1" x14ac:dyDescent="0.3">
      <c r="A308" s="85"/>
      <c r="B308" s="90" t="s">
        <v>211</v>
      </c>
      <c r="C308" s="89"/>
      <c r="D308" s="33" t="s">
        <v>52</v>
      </c>
      <c r="E308" s="33" t="s">
        <v>58</v>
      </c>
      <c r="F308" s="33" t="s">
        <v>210</v>
      </c>
      <c r="G308" s="89"/>
      <c r="H308" s="89"/>
      <c r="I308" s="33" t="s">
        <v>58</v>
      </c>
      <c r="J308" s="1063"/>
      <c r="K308" s="1063"/>
      <c r="L308" s="1063"/>
      <c r="M308" s="1125"/>
      <c r="N308" s="2520"/>
      <c r="O308" s="2931"/>
      <c r="P308" s="2932"/>
      <c r="Q308" s="2618"/>
      <c r="R308" s="2619"/>
      <c r="S308" s="2939"/>
      <c r="T308" s="2939"/>
      <c r="U308" s="2939"/>
      <c r="V308" s="2520"/>
      <c r="W308" s="2520"/>
      <c r="X308" s="84"/>
      <c r="Z308" s="2141"/>
    </row>
    <row r="309" spans="1:26" s="83" customFormat="1" ht="13" x14ac:dyDescent="0.3">
      <c r="A309" s="85"/>
      <c r="B309" s="744" t="s">
        <v>60</v>
      </c>
      <c r="C309" s="89"/>
      <c r="D309" s="33"/>
      <c r="E309" s="33"/>
      <c r="F309" s="33" t="s">
        <v>984</v>
      </c>
      <c r="G309" s="33" t="s">
        <v>1</v>
      </c>
      <c r="H309" s="9" t="s">
        <v>452</v>
      </c>
      <c r="I309" s="9" t="s">
        <v>539</v>
      </c>
      <c r="J309" s="1061">
        <v>800</v>
      </c>
      <c r="K309" s="1063"/>
      <c r="L309" s="1061">
        <f>22480.2-11702.515</f>
        <v>10777.685000000001</v>
      </c>
      <c r="M309" s="1550">
        <v>13305.547</v>
      </c>
      <c r="N309" s="2520">
        <f>725</f>
        <v>725</v>
      </c>
      <c r="O309" s="2931"/>
      <c r="P309" s="2932"/>
      <c r="Q309" s="2618">
        <v>1726.1220000000001</v>
      </c>
      <c r="R309" s="2619">
        <v>1726.1220000000001</v>
      </c>
      <c r="S309" s="2939"/>
      <c r="T309" s="2939"/>
      <c r="U309" s="2939"/>
      <c r="V309" s="2520">
        <v>0</v>
      </c>
      <c r="W309" s="2520">
        <v>0</v>
      </c>
      <c r="X309" s="84"/>
      <c r="Z309" s="2141"/>
    </row>
    <row r="310" spans="1:26" s="83" customFormat="1" ht="52" x14ac:dyDescent="0.3">
      <c r="A310" s="85"/>
      <c r="B310" s="1098" t="s">
        <v>1229</v>
      </c>
      <c r="C310" s="89"/>
      <c r="D310" s="33"/>
      <c r="E310" s="33"/>
      <c r="F310" s="33" t="s">
        <v>1228</v>
      </c>
      <c r="G310" s="33"/>
      <c r="H310" s="33"/>
      <c r="I310" s="33"/>
      <c r="J310" s="1061">
        <f>J312</f>
        <v>0</v>
      </c>
      <c r="K310" s="1063"/>
      <c r="L310" s="1061"/>
      <c r="M310" s="1550"/>
      <c r="N310" s="2520">
        <f>N312</f>
        <v>7170.8016000000007</v>
      </c>
      <c r="O310" s="2931">
        <f>O312</f>
        <v>0</v>
      </c>
      <c r="P310" s="2932">
        <f>P312</f>
        <v>0</v>
      </c>
      <c r="Q310" s="2618">
        <f>Q312</f>
        <v>0</v>
      </c>
      <c r="R310" s="2619">
        <f>R312</f>
        <v>0</v>
      </c>
      <c r="S310" s="2939"/>
      <c r="T310" s="2939"/>
      <c r="U310" s="2939"/>
      <c r="V310" s="2520">
        <f>V312</f>
        <v>28359.61621</v>
      </c>
      <c r="W310" s="2520">
        <f>W312</f>
        <v>0</v>
      </c>
      <c r="X310" s="84"/>
      <c r="Z310" s="2141"/>
    </row>
    <row r="311" spans="1:26" s="83" customFormat="1" ht="29.5" customHeight="1" x14ac:dyDescent="0.3">
      <c r="A311" s="85"/>
      <c r="B311" s="49" t="s">
        <v>1048</v>
      </c>
      <c r="C311" s="89"/>
      <c r="D311" s="33"/>
      <c r="E311" s="33"/>
      <c r="F311" s="33" t="s">
        <v>1228</v>
      </c>
      <c r="G311" s="33" t="s">
        <v>955</v>
      </c>
      <c r="H311" s="33"/>
      <c r="I311" s="33"/>
      <c r="J311" s="1061"/>
      <c r="K311" s="1063"/>
      <c r="L311" s="1061"/>
      <c r="M311" s="1550"/>
      <c r="N311" s="2520">
        <f>N312</f>
        <v>7170.8016000000007</v>
      </c>
      <c r="O311" s="2931"/>
      <c r="P311" s="2932"/>
      <c r="Q311" s="2618"/>
      <c r="R311" s="2619"/>
      <c r="S311" s="2939"/>
      <c r="T311" s="2939"/>
      <c r="U311" s="2939"/>
      <c r="V311" s="2520">
        <f>V312</f>
        <v>28359.61621</v>
      </c>
      <c r="W311" s="2520">
        <f>W312</f>
        <v>0</v>
      </c>
      <c r="X311" s="84"/>
      <c r="Z311" s="2141"/>
    </row>
    <row r="312" spans="1:26" s="83" customFormat="1" ht="26" x14ac:dyDescent="0.3">
      <c r="A312" s="85"/>
      <c r="B312" s="1993" t="s">
        <v>4</v>
      </c>
      <c r="C312" s="89"/>
      <c r="D312" s="33"/>
      <c r="E312" s="33"/>
      <c r="F312" s="33" t="s">
        <v>1228</v>
      </c>
      <c r="G312" s="33" t="s">
        <v>1</v>
      </c>
      <c r="H312" s="33"/>
      <c r="I312" s="33"/>
      <c r="J312" s="1061">
        <f>J313</f>
        <v>0</v>
      </c>
      <c r="K312" s="1063"/>
      <c r="L312" s="1061"/>
      <c r="M312" s="1550"/>
      <c r="N312" s="2520">
        <f t="shared" ref="N312:R312" si="191">N313</f>
        <v>7170.8016000000007</v>
      </c>
      <c r="O312" s="2931">
        <f t="shared" si="191"/>
        <v>0</v>
      </c>
      <c r="P312" s="2932">
        <f t="shared" si="191"/>
        <v>0</v>
      </c>
      <c r="Q312" s="2618">
        <f t="shared" si="191"/>
        <v>0</v>
      </c>
      <c r="R312" s="2619">
        <f t="shared" si="191"/>
        <v>0</v>
      </c>
      <c r="S312" s="2939"/>
      <c r="T312" s="2939"/>
      <c r="U312" s="2939"/>
      <c r="V312" s="2520">
        <f t="shared" ref="V312:W312" si="192">V313</f>
        <v>28359.61621</v>
      </c>
      <c r="W312" s="2520">
        <f t="shared" si="192"/>
        <v>0</v>
      </c>
      <c r="X312" s="84"/>
      <c r="Z312" s="2141"/>
    </row>
    <row r="313" spans="1:26" s="83" customFormat="1" ht="13" x14ac:dyDescent="0.3">
      <c r="A313" s="85"/>
      <c r="B313" s="744" t="s">
        <v>60</v>
      </c>
      <c r="C313" s="89"/>
      <c r="D313" s="33"/>
      <c r="E313" s="33"/>
      <c r="F313" s="33" t="s">
        <v>1228</v>
      </c>
      <c r="G313" s="33" t="s">
        <v>1</v>
      </c>
      <c r="H313" s="33" t="s">
        <v>452</v>
      </c>
      <c r="I313" s="33" t="s">
        <v>539</v>
      </c>
      <c r="J313" s="1061"/>
      <c r="K313" s="1063"/>
      <c r="L313" s="1061"/>
      <c r="M313" s="1550"/>
      <c r="N313" s="2520">
        <f>717.08016+6453.72144</f>
        <v>7170.8016000000007</v>
      </c>
      <c r="O313" s="2931"/>
      <c r="P313" s="2932"/>
      <c r="Q313" s="2618"/>
      <c r="R313" s="2619"/>
      <c r="S313" s="2939"/>
      <c r="T313" s="2939"/>
      <c r="U313" s="2939"/>
      <c r="V313" s="2520">
        <f>34813.33765-6453.72144</f>
        <v>28359.61621</v>
      </c>
      <c r="W313" s="2520">
        <v>0</v>
      </c>
      <c r="X313" s="84"/>
      <c r="Z313" s="2141"/>
    </row>
    <row r="314" spans="1:26" s="83" customFormat="1" ht="13" x14ac:dyDescent="0.3">
      <c r="A314" s="85" t="s">
        <v>106</v>
      </c>
      <c r="B314" s="1098" t="s">
        <v>201</v>
      </c>
      <c r="C314" s="89"/>
      <c r="D314" s="33"/>
      <c r="E314" s="33"/>
      <c r="F314" s="33" t="s">
        <v>213</v>
      </c>
      <c r="G314" s="33"/>
      <c r="H314" s="33"/>
      <c r="I314" s="33"/>
      <c r="J314" s="1061">
        <f>J316</f>
        <v>0</v>
      </c>
      <c r="K314" s="1063"/>
      <c r="L314" s="1061"/>
      <c r="M314" s="1550"/>
      <c r="N314" s="2520">
        <f>N316</f>
        <v>5268.6778899999999</v>
      </c>
      <c r="O314" s="2931">
        <f>O316</f>
        <v>0</v>
      </c>
      <c r="P314" s="2932">
        <f>P316</f>
        <v>0</v>
      </c>
      <c r="Q314" s="2618">
        <f>Q316</f>
        <v>0</v>
      </c>
      <c r="R314" s="2619">
        <f>R316</f>
        <v>0</v>
      </c>
      <c r="S314" s="2939"/>
      <c r="T314" s="2939"/>
      <c r="U314" s="2939"/>
      <c r="V314" s="2520">
        <f>V316</f>
        <v>948.3</v>
      </c>
      <c r="W314" s="2520">
        <f>W316</f>
        <v>948.3</v>
      </c>
      <c r="X314" s="84"/>
      <c r="Z314" s="2141"/>
    </row>
    <row r="315" spans="1:26" s="83" customFormat="1" ht="26" x14ac:dyDescent="0.3">
      <c r="A315" s="85"/>
      <c r="B315" s="49" t="s">
        <v>1048</v>
      </c>
      <c r="C315" s="89"/>
      <c r="D315" s="33"/>
      <c r="E315" s="33"/>
      <c r="F315" s="33" t="s">
        <v>213</v>
      </c>
      <c r="G315" s="33" t="s">
        <v>955</v>
      </c>
      <c r="H315" s="33"/>
      <c r="I315" s="33"/>
      <c r="J315" s="1061"/>
      <c r="K315" s="1063"/>
      <c r="L315" s="1061"/>
      <c r="M315" s="1550"/>
      <c r="N315" s="2520">
        <f>N316</f>
        <v>5268.6778899999999</v>
      </c>
      <c r="O315" s="2931"/>
      <c r="P315" s="2932"/>
      <c r="Q315" s="2618"/>
      <c r="R315" s="2619"/>
      <c r="S315" s="2939"/>
      <c r="T315" s="2939"/>
      <c r="U315" s="2939"/>
      <c r="V315" s="2520">
        <f>V316</f>
        <v>948.3</v>
      </c>
      <c r="W315" s="2520">
        <f>W316</f>
        <v>948.3</v>
      </c>
      <c r="X315" s="84"/>
      <c r="Z315" s="2141"/>
    </row>
    <row r="316" spans="1:26" s="83" customFormat="1" ht="26" x14ac:dyDescent="0.3">
      <c r="A316" s="85"/>
      <c r="B316" s="1993" t="s">
        <v>4</v>
      </c>
      <c r="C316" s="89"/>
      <c r="D316" s="33"/>
      <c r="E316" s="33"/>
      <c r="F316" s="33" t="s">
        <v>213</v>
      </c>
      <c r="G316" s="33" t="s">
        <v>1</v>
      </c>
      <c r="H316" s="33"/>
      <c r="I316" s="33"/>
      <c r="J316" s="1061">
        <f>J317</f>
        <v>0</v>
      </c>
      <c r="K316" s="1063"/>
      <c r="L316" s="1061"/>
      <c r="M316" s="1550"/>
      <c r="N316" s="2520">
        <f t="shared" ref="N316:R316" si="193">N317</f>
        <v>5268.6778899999999</v>
      </c>
      <c r="O316" s="2931">
        <f t="shared" si="193"/>
        <v>0</v>
      </c>
      <c r="P316" s="2932">
        <f t="shared" si="193"/>
        <v>0</v>
      </c>
      <c r="Q316" s="2618">
        <f t="shared" si="193"/>
        <v>0</v>
      </c>
      <c r="R316" s="2619">
        <f t="shared" si="193"/>
        <v>0</v>
      </c>
      <c r="S316" s="2939"/>
      <c r="T316" s="2939"/>
      <c r="U316" s="2939"/>
      <c r="V316" s="2520">
        <f t="shared" ref="V316:W316" si="194">V317</f>
        <v>948.3</v>
      </c>
      <c r="W316" s="2520">
        <f t="shared" si="194"/>
        <v>948.3</v>
      </c>
      <c r="X316" s="84"/>
      <c r="Z316" s="2141"/>
    </row>
    <row r="317" spans="1:26" s="83" customFormat="1" ht="13" x14ac:dyDescent="0.3">
      <c r="A317" s="85"/>
      <c r="B317" s="744" t="s">
        <v>60</v>
      </c>
      <c r="C317" s="89"/>
      <c r="D317" s="33"/>
      <c r="E317" s="33"/>
      <c r="F317" s="33" t="s">
        <v>213</v>
      </c>
      <c r="G317" s="33" t="s">
        <v>1</v>
      </c>
      <c r="H317" s="9" t="s">
        <v>452</v>
      </c>
      <c r="I317" s="9" t="s">
        <v>539</v>
      </c>
      <c r="J317" s="1061"/>
      <c r="K317" s="1063"/>
      <c r="L317" s="1061"/>
      <c r="M317" s="1550"/>
      <c r="N317" s="2520">
        <f>875.8+0.25567+4000+392.62222</f>
        <v>5268.6778899999999</v>
      </c>
      <c r="O317" s="2931"/>
      <c r="P317" s="2932"/>
      <c r="Q317" s="2618"/>
      <c r="R317" s="2619"/>
      <c r="S317" s="2939"/>
      <c r="T317" s="2939"/>
      <c r="U317" s="2939"/>
      <c r="V317" s="2520">
        <v>948.3</v>
      </c>
      <c r="W317" s="2520">
        <v>948.3</v>
      </c>
      <c r="X317" s="84"/>
      <c r="Z317" s="2141"/>
    </row>
    <row r="318" spans="1:26" s="83" customFormat="1" ht="39" x14ac:dyDescent="0.3">
      <c r="A318" s="85"/>
      <c r="B318" s="157" t="s">
        <v>837</v>
      </c>
      <c r="C318" s="89"/>
      <c r="D318" s="33" t="s">
        <v>52</v>
      </c>
      <c r="E318" s="33" t="s">
        <v>58</v>
      </c>
      <c r="F318" s="33" t="s">
        <v>204</v>
      </c>
      <c r="G318" s="33"/>
      <c r="H318" s="33"/>
      <c r="I318" s="33"/>
      <c r="J318" s="1063">
        <f>J319</f>
        <v>800</v>
      </c>
      <c r="K318" s="1063"/>
      <c r="L318" s="1063">
        <f>L319</f>
        <v>667</v>
      </c>
      <c r="M318" s="1125">
        <f>M319</f>
        <v>733</v>
      </c>
      <c r="N318" s="2520">
        <f>N319</f>
        <v>920.2</v>
      </c>
      <c r="O318" s="2931">
        <f>O322+O326</f>
        <v>5740</v>
      </c>
      <c r="P318" s="2932">
        <f>P322+P326</f>
        <v>5980</v>
      </c>
      <c r="Q318" s="2618">
        <f>Q322+Q326</f>
        <v>2182.1999999999998</v>
      </c>
      <c r="R318" s="2619">
        <f>R322+R326</f>
        <v>1295.1990000000001</v>
      </c>
      <c r="S318" s="2939"/>
      <c r="T318" s="2939"/>
      <c r="U318" s="2939"/>
      <c r="V318" s="2520">
        <f>V319</f>
        <v>0</v>
      </c>
      <c r="W318" s="2520">
        <f>W319</f>
        <v>993.22</v>
      </c>
      <c r="X318" s="84"/>
      <c r="Z318" s="2141"/>
    </row>
    <row r="319" spans="1:26" s="83" customFormat="1" ht="26" x14ac:dyDescent="0.3">
      <c r="A319" s="85"/>
      <c r="B319" s="1093" t="s">
        <v>203</v>
      </c>
      <c r="C319" s="89"/>
      <c r="D319" s="33" t="s">
        <v>52</v>
      </c>
      <c r="E319" s="33" t="s">
        <v>58</v>
      </c>
      <c r="F319" s="33" t="s">
        <v>202</v>
      </c>
      <c r="G319" s="88"/>
      <c r="H319" s="88"/>
      <c r="I319" s="33"/>
      <c r="J319" s="1063">
        <f>J323</f>
        <v>800</v>
      </c>
      <c r="K319" s="1063"/>
      <c r="L319" s="1063">
        <f>L325</f>
        <v>667</v>
      </c>
      <c r="M319" s="1125">
        <f>M325</f>
        <v>733</v>
      </c>
      <c r="N319" s="2520">
        <f>N322+N326</f>
        <v>920.2</v>
      </c>
      <c r="O319" s="2931">
        <f>O323</f>
        <v>500</v>
      </c>
      <c r="P319" s="2932">
        <f>P323</f>
        <v>600</v>
      </c>
      <c r="Q319" s="2618">
        <f>Q323+Q322</f>
        <v>2182.1999999999998</v>
      </c>
      <c r="R319" s="2619">
        <f>R323+R322</f>
        <v>1295.1990000000001</v>
      </c>
      <c r="S319" s="2939"/>
      <c r="T319" s="2939"/>
      <c r="U319" s="2939"/>
      <c r="V319" s="2520">
        <f>V322+V326</f>
        <v>0</v>
      </c>
      <c r="W319" s="2520">
        <f>W322+W326</f>
        <v>993.22</v>
      </c>
      <c r="X319" s="84"/>
      <c r="Z319" s="2141"/>
    </row>
    <row r="320" spans="1:26" s="83" customFormat="1" ht="13" hidden="1" x14ac:dyDescent="0.3">
      <c r="A320" s="85"/>
      <c r="B320" s="1098" t="s">
        <v>201</v>
      </c>
      <c r="C320" s="89"/>
      <c r="D320" s="33"/>
      <c r="E320" s="33"/>
      <c r="F320" s="33" t="s">
        <v>200</v>
      </c>
      <c r="G320" s="88"/>
      <c r="H320" s="88"/>
      <c r="I320" s="33"/>
      <c r="J320" s="1063"/>
      <c r="K320" s="1063"/>
      <c r="L320" s="1063"/>
      <c r="M320" s="1125"/>
      <c r="N320" s="2520">
        <f t="shared" ref="N320:R321" si="195">N321</f>
        <v>0</v>
      </c>
      <c r="O320" s="2931">
        <f t="shared" si="195"/>
        <v>5240</v>
      </c>
      <c r="P320" s="2932">
        <f t="shared" si="195"/>
        <v>5380</v>
      </c>
      <c r="Q320" s="2618">
        <f t="shared" si="195"/>
        <v>1722.2</v>
      </c>
      <c r="R320" s="2619">
        <f t="shared" si="195"/>
        <v>775.19899999999996</v>
      </c>
      <c r="S320" s="2939"/>
      <c r="T320" s="2939"/>
      <c r="U320" s="2939"/>
      <c r="V320" s="2520">
        <f t="shared" ref="V320:W321" si="196">V321</f>
        <v>0</v>
      </c>
      <c r="W320" s="2520">
        <f t="shared" si="196"/>
        <v>0</v>
      </c>
      <c r="X320" s="84"/>
      <c r="Z320" s="2141"/>
    </row>
    <row r="321" spans="1:256" s="83" customFormat="1" ht="26" hidden="1" x14ac:dyDescent="0.3">
      <c r="A321" s="85"/>
      <c r="B321" s="1993" t="s">
        <v>4</v>
      </c>
      <c r="C321" s="89"/>
      <c r="D321" s="33"/>
      <c r="E321" s="33"/>
      <c r="F321" s="33" t="s">
        <v>200</v>
      </c>
      <c r="G321" s="88">
        <v>240</v>
      </c>
      <c r="H321" s="88"/>
      <c r="I321" s="33"/>
      <c r="J321" s="1063"/>
      <c r="K321" s="1063"/>
      <c r="L321" s="1063"/>
      <c r="M321" s="1125"/>
      <c r="N321" s="2520">
        <f t="shared" si="195"/>
        <v>0</v>
      </c>
      <c r="O321" s="2931">
        <f t="shared" si="195"/>
        <v>5240</v>
      </c>
      <c r="P321" s="2932">
        <f t="shared" si="195"/>
        <v>5380</v>
      </c>
      <c r="Q321" s="2618">
        <f t="shared" si="195"/>
        <v>1722.2</v>
      </c>
      <c r="R321" s="2619">
        <f t="shared" si="195"/>
        <v>775.19899999999996</v>
      </c>
      <c r="S321" s="2939"/>
      <c r="T321" s="2939"/>
      <c r="U321" s="2939"/>
      <c r="V321" s="2520">
        <f t="shared" si="196"/>
        <v>0</v>
      </c>
      <c r="W321" s="2520">
        <f t="shared" si="196"/>
        <v>0</v>
      </c>
      <c r="X321" s="84"/>
      <c r="Z321" s="2141"/>
    </row>
    <row r="322" spans="1:256" s="83" customFormat="1" ht="13" hidden="1" x14ac:dyDescent="0.3">
      <c r="A322" s="85"/>
      <c r="B322" s="744" t="s">
        <v>60</v>
      </c>
      <c r="C322" s="89"/>
      <c r="D322" s="33"/>
      <c r="E322" s="33"/>
      <c r="F322" s="33" t="s">
        <v>200</v>
      </c>
      <c r="G322" s="88">
        <v>240</v>
      </c>
      <c r="H322" s="9" t="s">
        <v>452</v>
      </c>
      <c r="I322" s="9" t="s">
        <v>539</v>
      </c>
      <c r="J322" s="1063"/>
      <c r="K322" s="1063"/>
      <c r="L322" s="1063"/>
      <c r="M322" s="1125"/>
      <c r="N322" s="2520"/>
      <c r="O322" s="2931">
        <v>5240</v>
      </c>
      <c r="P322" s="2932">
        <v>5380</v>
      </c>
      <c r="Q322" s="2618">
        <v>1722.2</v>
      </c>
      <c r="R322" s="2619">
        <v>775.19899999999996</v>
      </c>
      <c r="S322" s="2939"/>
      <c r="T322" s="2939"/>
      <c r="U322" s="2939"/>
      <c r="V322" s="2520"/>
      <c r="W322" s="2520"/>
      <c r="X322" s="84"/>
      <c r="Z322" s="2141"/>
    </row>
    <row r="323" spans="1:256" s="83" customFormat="1" ht="26" x14ac:dyDescent="0.3">
      <c r="A323" s="85"/>
      <c r="B323" s="1098" t="s">
        <v>199</v>
      </c>
      <c r="C323" s="89"/>
      <c r="D323" s="33"/>
      <c r="E323" s="33"/>
      <c r="F323" s="33" t="s">
        <v>198</v>
      </c>
      <c r="G323" s="88"/>
      <c r="H323" s="88"/>
      <c r="I323" s="33"/>
      <c r="J323" s="1063">
        <f>J325</f>
        <v>800</v>
      </c>
      <c r="K323" s="1063"/>
      <c r="L323" s="1063"/>
      <c r="M323" s="1125"/>
      <c r="N323" s="2520">
        <f>N325</f>
        <v>920.2</v>
      </c>
      <c r="O323" s="2931">
        <f>O325</f>
        <v>500</v>
      </c>
      <c r="P323" s="2932">
        <f>P325</f>
        <v>600</v>
      </c>
      <c r="Q323" s="2618">
        <f>Q325</f>
        <v>460</v>
      </c>
      <c r="R323" s="2619">
        <f>R325</f>
        <v>520</v>
      </c>
      <c r="S323" s="2939"/>
      <c r="T323" s="2939"/>
      <c r="U323" s="2939"/>
      <c r="V323" s="2520">
        <f>V325</f>
        <v>0</v>
      </c>
      <c r="W323" s="2520">
        <f>W325</f>
        <v>993.22</v>
      </c>
      <c r="X323" s="84"/>
      <c r="Z323" s="2141"/>
    </row>
    <row r="324" spans="1:256" s="83" customFormat="1" ht="26" x14ac:dyDescent="0.3">
      <c r="A324" s="85"/>
      <c r="B324" s="49" t="s">
        <v>1048</v>
      </c>
      <c r="C324" s="89"/>
      <c r="D324" s="33"/>
      <c r="E324" s="33"/>
      <c r="F324" s="33" t="s">
        <v>198</v>
      </c>
      <c r="G324" s="88">
        <v>200</v>
      </c>
      <c r="H324" s="88"/>
      <c r="I324" s="33"/>
      <c r="J324" s="1063"/>
      <c r="K324" s="1063"/>
      <c r="L324" s="1063"/>
      <c r="M324" s="1125"/>
      <c r="N324" s="2520">
        <f>N325</f>
        <v>920.2</v>
      </c>
      <c r="O324" s="2931"/>
      <c r="P324" s="2932"/>
      <c r="Q324" s="2618"/>
      <c r="R324" s="2619"/>
      <c r="S324" s="2939"/>
      <c r="T324" s="2939"/>
      <c r="U324" s="2939"/>
      <c r="V324" s="2520">
        <f>V325</f>
        <v>0</v>
      </c>
      <c r="W324" s="2520">
        <f>W325</f>
        <v>993.22</v>
      </c>
      <c r="X324" s="84"/>
      <c r="Z324" s="2141"/>
    </row>
    <row r="325" spans="1:256" s="83" customFormat="1" ht="25.15" customHeight="1" x14ac:dyDescent="0.3">
      <c r="A325" s="85"/>
      <c r="B325" s="1993" t="s">
        <v>4</v>
      </c>
      <c r="C325" s="89"/>
      <c r="D325" s="33" t="s">
        <v>52</v>
      </c>
      <c r="E325" s="33" t="s">
        <v>58</v>
      </c>
      <c r="F325" s="33" t="s">
        <v>198</v>
      </c>
      <c r="G325" s="88">
        <v>240</v>
      </c>
      <c r="H325" s="88"/>
      <c r="I325" s="33"/>
      <c r="J325" s="1063">
        <f>J326</f>
        <v>800</v>
      </c>
      <c r="K325" s="1063"/>
      <c r="L325" s="1063">
        <v>667</v>
      </c>
      <c r="M325" s="1125">
        <v>733</v>
      </c>
      <c r="N325" s="2520">
        <f t="shared" ref="N325:R325" si="197">N326</f>
        <v>920.2</v>
      </c>
      <c r="O325" s="2931">
        <f t="shared" si="197"/>
        <v>500</v>
      </c>
      <c r="P325" s="2932">
        <f t="shared" si="197"/>
        <v>600</v>
      </c>
      <c r="Q325" s="2618">
        <f t="shared" si="197"/>
        <v>460</v>
      </c>
      <c r="R325" s="2619">
        <f t="shared" si="197"/>
        <v>520</v>
      </c>
      <c r="S325" s="2939"/>
      <c r="T325" s="2939"/>
      <c r="U325" s="2939"/>
      <c r="V325" s="2520">
        <f t="shared" ref="V325:W325" si="198">V326</f>
        <v>0</v>
      </c>
      <c r="W325" s="2520">
        <f t="shared" si="198"/>
        <v>993.22</v>
      </c>
      <c r="X325" s="84"/>
      <c r="Z325" s="2141"/>
    </row>
    <row r="326" spans="1:256" s="83" customFormat="1" ht="13" x14ac:dyDescent="0.3">
      <c r="A326" s="85"/>
      <c r="B326" s="744" t="s">
        <v>60</v>
      </c>
      <c r="C326" s="89"/>
      <c r="D326" s="33"/>
      <c r="E326" s="33"/>
      <c r="F326" s="33" t="s">
        <v>198</v>
      </c>
      <c r="G326" s="88">
        <v>240</v>
      </c>
      <c r="H326" s="9" t="s">
        <v>452</v>
      </c>
      <c r="I326" s="9" t="s">
        <v>539</v>
      </c>
      <c r="J326" s="1063">
        <v>800</v>
      </c>
      <c r="K326" s="1063"/>
      <c r="L326" s="1063">
        <v>667</v>
      </c>
      <c r="M326" s="1125">
        <v>733</v>
      </c>
      <c r="N326" s="2520">
        <v>920.2</v>
      </c>
      <c r="O326" s="2931">
        <v>500</v>
      </c>
      <c r="P326" s="2932">
        <v>600</v>
      </c>
      <c r="Q326" s="2618">
        <v>460</v>
      </c>
      <c r="R326" s="2619">
        <v>520</v>
      </c>
      <c r="S326" s="2939"/>
      <c r="T326" s="2939"/>
      <c r="U326" s="2939"/>
      <c r="V326" s="2520">
        <v>0</v>
      </c>
      <c r="W326" s="2520">
        <f>610+383.22</f>
        <v>993.22</v>
      </c>
      <c r="X326" s="84"/>
      <c r="Z326" s="2141"/>
    </row>
    <row r="327" spans="1:256" ht="39" x14ac:dyDescent="0.25">
      <c r="A327" s="156">
        <v>6</v>
      </c>
      <c r="B327" s="155" t="s">
        <v>884</v>
      </c>
      <c r="C327" s="152"/>
      <c r="D327" s="154" t="s">
        <v>15</v>
      </c>
      <c r="E327" s="152" t="s">
        <v>13</v>
      </c>
      <c r="F327" s="152" t="s">
        <v>196</v>
      </c>
      <c r="G327" s="153"/>
      <c r="H327" s="153"/>
      <c r="I327" s="152"/>
      <c r="J327" s="150">
        <f>J328</f>
        <v>3497.6120000000001</v>
      </c>
      <c r="K327" s="151"/>
      <c r="L327" s="150">
        <f>L329</f>
        <v>4000</v>
      </c>
      <c r="M327" s="1559">
        <f>M329</f>
        <v>0</v>
      </c>
      <c r="N327" s="2940">
        <f>N333+N341+N337</f>
        <v>9422.8870000000006</v>
      </c>
      <c r="O327" s="2941">
        <f t="shared" ref="O327:R328" si="199">O328</f>
        <v>48</v>
      </c>
      <c r="P327" s="2941">
        <f t="shared" si="199"/>
        <v>816.12</v>
      </c>
      <c r="Q327" s="2942">
        <f t="shared" si="199"/>
        <v>4981.808</v>
      </c>
      <c r="R327" s="2943">
        <f>R328+R341</f>
        <v>5143</v>
      </c>
      <c r="S327" s="2525"/>
      <c r="T327" s="2525"/>
      <c r="U327" s="2525"/>
      <c r="V327" s="2940">
        <f>V328</f>
        <v>7792.4520000000002</v>
      </c>
      <c r="W327" s="2940">
        <f>W333+W341</f>
        <v>2492.16</v>
      </c>
    </row>
    <row r="328" spans="1:256" s="2" customFormat="1" ht="31.15" customHeight="1" x14ac:dyDescent="0.25">
      <c r="A328" s="1099"/>
      <c r="B328" s="1092" t="s">
        <v>195</v>
      </c>
      <c r="C328" s="1092"/>
      <c r="D328" s="1092"/>
      <c r="E328" s="1092"/>
      <c r="F328" s="9" t="s">
        <v>194</v>
      </c>
      <c r="G328" s="1092"/>
      <c r="H328" s="1092"/>
      <c r="I328" s="1092"/>
      <c r="J328" s="1100">
        <f>J329</f>
        <v>3497.6120000000001</v>
      </c>
      <c r="K328" s="1092"/>
      <c r="L328" s="1092"/>
      <c r="M328" s="1560"/>
      <c r="N328" s="2597">
        <f>N329+N341</f>
        <v>9422.8870000000006</v>
      </c>
      <c r="O328" s="2922">
        <f t="shared" si="199"/>
        <v>48</v>
      </c>
      <c r="P328" s="2923">
        <f t="shared" si="199"/>
        <v>816.12</v>
      </c>
      <c r="Q328" s="2924">
        <f t="shared" si="199"/>
        <v>4981.808</v>
      </c>
      <c r="R328" s="2925">
        <f t="shared" si="199"/>
        <v>3543</v>
      </c>
      <c r="S328" s="2926"/>
      <c r="T328" s="2926"/>
      <c r="U328" s="2926"/>
      <c r="V328" s="2597">
        <f>V337+V341</f>
        <v>7792.4520000000002</v>
      </c>
      <c r="W328" s="2597">
        <f>W329</f>
        <v>0</v>
      </c>
      <c r="X328" s="1102"/>
      <c r="Y328" s="1102"/>
      <c r="Z328" s="2812"/>
      <c r="AA328" s="1102"/>
      <c r="AB328" s="1102"/>
      <c r="AC328" s="1102"/>
      <c r="AD328" s="1102"/>
      <c r="AE328" s="1102"/>
      <c r="AF328" s="1102"/>
      <c r="AG328" s="1102"/>
      <c r="AH328" s="1102"/>
      <c r="AI328" s="1102"/>
      <c r="AJ328" s="1102"/>
      <c r="AK328" s="1102"/>
      <c r="AL328" s="1102"/>
      <c r="AM328" s="1102"/>
      <c r="AN328" s="1102"/>
      <c r="AO328" s="1102"/>
      <c r="AP328" s="1102"/>
      <c r="AQ328" s="1102"/>
      <c r="AR328" s="1102"/>
      <c r="AS328" s="1102"/>
      <c r="AT328" s="1102"/>
      <c r="AU328" s="1102"/>
      <c r="AV328" s="1102"/>
      <c r="AW328" s="1102"/>
      <c r="AX328" s="1102"/>
      <c r="AY328" s="1102"/>
      <c r="AZ328" s="1102"/>
      <c r="BA328" s="1102"/>
      <c r="BB328" s="1102"/>
      <c r="BC328" s="1102"/>
      <c r="BD328" s="1102"/>
      <c r="BE328" s="1102"/>
      <c r="BF328" s="1102"/>
      <c r="BG328" s="1102"/>
      <c r="BH328" s="1102"/>
      <c r="BI328" s="1102"/>
      <c r="BJ328" s="1102"/>
      <c r="BK328" s="1102"/>
      <c r="BL328" s="1102"/>
      <c r="BM328" s="1102"/>
      <c r="BN328" s="1102"/>
      <c r="BO328" s="1102"/>
      <c r="BP328" s="1102"/>
      <c r="BQ328" s="1102"/>
      <c r="BR328" s="1102"/>
      <c r="BS328" s="1102"/>
      <c r="BT328" s="1102"/>
      <c r="BU328" s="1102"/>
      <c r="BV328" s="1102"/>
      <c r="BW328" s="1102"/>
      <c r="BX328" s="1102"/>
      <c r="BY328" s="1102"/>
      <c r="BZ328" s="1102"/>
      <c r="CA328" s="1102"/>
      <c r="CB328" s="1102"/>
      <c r="CC328" s="1102"/>
      <c r="CD328" s="1102"/>
      <c r="CE328" s="1102"/>
      <c r="CF328" s="1102"/>
      <c r="CG328" s="1102"/>
      <c r="CH328" s="1102"/>
      <c r="CI328" s="1102"/>
      <c r="CJ328" s="1102"/>
      <c r="CK328" s="1102"/>
      <c r="CL328" s="1102"/>
      <c r="CM328" s="1102"/>
      <c r="CN328" s="1102"/>
      <c r="CO328" s="1102"/>
      <c r="CP328" s="1102"/>
      <c r="CQ328" s="1102"/>
      <c r="CR328" s="1102"/>
      <c r="CS328" s="1102"/>
      <c r="CT328" s="1102"/>
      <c r="CU328" s="1102"/>
      <c r="CV328" s="1102"/>
      <c r="CW328" s="1102"/>
      <c r="CX328" s="1102"/>
      <c r="CY328" s="1102"/>
      <c r="CZ328" s="1102"/>
      <c r="DA328" s="1102"/>
      <c r="DB328" s="1102"/>
      <c r="DC328" s="1102"/>
      <c r="DD328" s="1102"/>
      <c r="DE328" s="1102"/>
      <c r="DF328" s="1102"/>
      <c r="DG328" s="1102"/>
      <c r="DH328" s="1102"/>
      <c r="DI328" s="1102"/>
      <c r="DJ328" s="1102"/>
      <c r="DK328" s="1102"/>
      <c r="DL328" s="1102"/>
      <c r="DM328" s="1102"/>
      <c r="DN328" s="1102"/>
      <c r="DO328" s="1102"/>
      <c r="DP328" s="1102"/>
      <c r="DQ328" s="1102"/>
      <c r="DR328" s="1102"/>
      <c r="DS328" s="1102"/>
      <c r="DT328" s="1102"/>
      <c r="DU328" s="1102"/>
      <c r="DV328" s="1102"/>
      <c r="DW328" s="1102"/>
      <c r="DX328" s="1102"/>
      <c r="DY328" s="1102"/>
      <c r="DZ328" s="1102"/>
      <c r="EA328" s="1102"/>
      <c r="EB328" s="1102"/>
      <c r="EC328" s="1102"/>
      <c r="ED328" s="1102"/>
      <c r="EE328" s="1102"/>
      <c r="EF328" s="1102"/>
      <c r="EG328" s="1102"/>
      <c r="EH328" s="1102"/>
      <c r="EI328" s="1102"/>
      <c r="EJ328" s="1102"/>
      <c r="EK328" s="1102"/>
      <c r="EL328" s="1102"/>
      <c r="EM328" s="1102"/>
      <c r="EN328" s="1102"/>
      <c r="EO328" s="1102"/>
      <c r="EP328" s="1102"/>
      <c r="EQ328" s="1102"/>
      <c r="ER328" s="1102"/>
      <c r="ES328" s="1102"/>
      <c r="ET328" s="1102"/>
      <c r="EU328" s="1102"/>
      <c r="EV328" s="1102"/>
      <c r="EW328" s="1102"/>
      <c r="EX328" s="1102"/>
      <c r="EY328" s="1102"/>
      <c r="EZ328" s="1102"/>
      <c r="FA328" s="1102"/>
      <c r="FB328" s="1102"/>
      <c r="FC328" s="1102"/>
      <c r="FD328" s="1102"/>
      <c r="FE328" s="1102"/>
      <c r="FF328" s="1102"/>
      <c r="FG328" s="1102"/>
      <c r="FH328" s="1102"/>
      <c r="FI328" s="1102"/>
      <c r="FJ328" s="1102"/>
      <c r="FK328" s="1102"/>
      <c r="FL328" s="1102"/>
      <c r="FM328" s="1102"/>
      <c r="FN328" s="1102"/>
      <c r="FO328" s="1102"/>
      <c r="FP328" s="1102"/>
      <c r="FQ328" s="1102"/>
      <c r="FR328" s="1102"/>
      <c r="FS328" s="1102"/>
      <c r="FT328" s="1102"/>
      <c r="FU328" s="1102"/>
      <c r="FV328" s="1102"/>
      <c r="FW328" s="1102"/>
      <c r="FX328" s="1102"/>
      <c r="FY328" s="1102"/>
      <c r="FZ328" s="1102"/>
      <c r="GA328" s="1102"/>
      <c r="GB328" s="1102"/>
      <c r="GC328" s="1102"/>
      <c r="GD328" s="1102"/>
      <c r="GE328" s="1102"/>
      <c r="GF328" s="1102"/>
      <c r="GG328" s="1102"/>
      <c r="GH328" s="1102"/>
      <c r="GI328" s="1102"/>
      <c r="GJ328" s="1102"/>
      <c r="GK328" s="1102"/>
      <c r="GL328" s="1102"/>
      <c r="GM328" s="1102"/>
      <c r="GN328" s="1102"/>
      <c r="GO328" s="1102"/>
      <c r="GP328" s="1102"/>
      <c r="GQ328" s="1102"/>
      <c r="GR328" s="1102"/>
      <c r="GS328" s="1102"/>
      <c r="GT328" s="1102"/>
      <c r="GU328" s="1102"/>
      <c r="GV328" s="1102"/>
      <c r="GW328" s="1102"/>
      <c r="GX328" s="1102"/>
      <c r="GY328" s="1102"/>
      <c r="GZ328" s="1102"/>
      <c r="HA328" s="1102"/>
      <c r="HB328" s="1102"/>
      <c r="HC328" s="1102"/>
      <c r="HD328" s="1102"/>
      <c r="HE328" s="1102"/>
      <c r="HF328" s="1102"/>
      <c r="HG328" s="1102"/>
      <c r="HH328" s="1102"/>
      <c r="HI328" s="1102"/>
      <c r="HJ328" s="1102"/>
      <c r="HK328" s="1102"/>
      <c r="HL328" s="1102"/>
      <c r="HM328" s="1102"/>
      <c r="HN328" s="1102"/>
      <c r="HO328" s="1102"/>
      <c r="HP328" s="1102"/>
      <c r="HQ328" s="1102"/>
      <c r="HR328" s="1102"/>
      <c r="HS328" s="1102"/>
      <c r="HT328" s="1102"/>
      <c r="HU328" s="1102"/>
      <c r="HV328" s="1102"/>
      <c r="HW328" s="1102"/>
      <c r="HX328" s="1102"/>
      <c r="HY328" s="1102"/>
      <c r="HZ328" s="1102"/>
      <c r="IA328" s="1102"/>
      <c r="IB328" s="1102"/>
      <c r="IC328" s="1102"/>
      <c r="ID328" s="1102"/>
      <c r="IE328" s="1102"/>
      <c r="IF328" s="1102"/>
      <c r="IG328" s="1102"/>
      <c r="IH328" s="1102"/>
      <c r="II328" s="1102"/>
      <c r="IJ328" s="1102"/>
      <c r="IK328" s="1102"/>
      <c r="IL328" s="1102"/>
      <c r="IM328" s="1102"/>
      <c r="IN328" s="1102"/>
      <c r="IO328" s="1102"/>
      <c r="IP328" s="1102"/>
      <c r="IQ328" s="1102"/>
      <c r="IR328" s="1102"/>
      <c r="IS328" s="1102"/>
      <c r="IT328" s="1102"/>
      <c r="IU328" s="1102"/>
      <c r="IV328" s="1102"/>
    </row>
    <row r="329" spans="1:256" ht="31" hidden="1" customHeight="1" x14ac:dyDescent="0.25">
      <c r="A329" s="145"/>
      <c r="B329" s="144" t="s">
        <v>1190</v>
      </c>
      <c r="C329" s="142"/>
      <c r="D329" s="143" t="s">
        <v>15</v>
      </c>
      <c r="E329" s="142" t="s">
        <v>13</v>
      </c>
      <c r="F329" s="142" t="s">
        <v>191</v>
      </c>
      <c r="G329" s="142"/>
      <c r="H329" s="142"/>
      <c r="I329" s="142"/>
      <c r="J329" s="1103">
        <f>J331</f>
        <v>3497.6120000000001</v>
      </c>
      <c r="K329" s="1104"/>
      <c r="L329" s="1104">
        <f t="shared" ref="L329:R329" si="200">L331</f>
        <v>4000</v>
      </c>
      <c r="M329" s="1561">
        <f t="shared" si="200"/>
        <v>0</v>
      </c>
      <c r="N329" s="2546">
        <f>N331+N337</f>
        <v>1546.097</v>
      </c>
      <c r="O329" s="2927">
        <f t="shared" si="200"/>
        <v>48</v>
      </c>
      <c r="P329" s="2928">
        <f t="shared" si="200"/>
        <v>816.12</v>
      </c>
      <c r="Q329" s="2929">
        <f t="shared" si="200"/>
        <v>4981.808</v>
      </c>
      <c r="R329" s="2930">
        <f t="shared" si="200"/>
        <v>3543</v>
      </c>
      <c r="S329" s="2525"/>
      <c r="T329" s="2525"/>
      <c r="U329" s="2525"/>
      <c r="V329" s="2546">
        <f t="shared" ref="V329:W329" si="201">V331</f>
        <v>0</v>
      </c>
      <c r="W329" s="2546">
        <f t="shared" si="201"/>
        <v>0</v>
      </c>
    </row>
    <row r="330" spans="1:256" ht="26" hidden="1" x14ac:dyDescent="0.25">
      <c r="A330" s="145"/>
      <c r="B330" s="49" t="s">
        <v>1048</v>
      </c>
      <c r="C330" s="142"/>
      <c r="D330" s="143"/>
      <c r="E330" s="142"/>
      <c r="F330" s="142" t="s">
        <v>191</v>
      </c>
      <c r="G330" s="142" t="s">
        <v>955</v>
      </c>
      <c r="H330" s="142"/>
      <c r="I330" s="142"/>
      <c r="J330" s="1103"/>
      <c r="K330" s="1104"/>
      <c r="L330" s="1104"/>
      <c r="M330" s="1561"/>
      <c r="N330" s="2546">
        <f>N331</f>
        <v>0</v>
      </c>
      <c r="O330" s="2927"/>
      <c r="P330" s="2928"/>
      <c r="Q330" s="2929"/>
      <c r="R330" s="2930"/>
      <c r="S330" s="2525"/>
      <c r="T330" s="2525"/>
      <c r="U330" s="2525"/>
      <c r="V330" s="2546">
        <f>V331</f>
        <v>0</v>
      </c>
      <c r="W330" s="2546">
        <f>W331</f>
        <v>0</v>
      </c>
    </row>
    <row r="331" spans="1:256" ht="26" hidden="1" x14ac:dyDescent="0.25">
      <c r="A331" s="32"/>
      <c r="B331" s="1993" t="s">
        <v>4</v>
      </c>
      <c r="C331" s="9"/>
      <c r="D331" s="88" t="s">
        <v>15</v>
      </c>
      <c r="E331" s="9" t="s">
        <v>13</v>
      </c>
      <c r="F331" s="9" t="s">
        <v>191</v>
      </c>
      <c r="G331" s="9" t="s">
        <v>1</v>
      </c>
      <c r="H331" s="9"/>
      <c r="I331" s="9"/>
      <c r="J331" s="1061">
        <f>J333</f>
        <v>3497.6120000000001</v>
      </c>
      <c r="K331" s="1075"/>
      <c r="L331" s="1066">
        <v>4000</v>
      </c>
      <c r="M331" s="1552"/>
      <c r="N331" s="2520">
        <f>N333</f>
        <v>0</v>
      </c>
      <c r="O331" s="2931">
        <f>O333</f>
        <v>48</v>
      </c>
      <c r="P331" s="2932">
        <f>P333</f>
        <v>816.12</v>
      </c>
      <c r="Q331" s="2618">
        <f>Q333</f>
        <v>4981.808</v>
      </c>
      <c r="R331" s="2619">
        <f>R333</f>
        <v>3543</v>
      </c>
      <c r="S331" s="2525"/>
      <c r="T331" s="2525"/>
      <c r="U331" s="2525"/>
      <c r="V331" s="2520">
        <f>V333</f>
        <v>0</v>
      </c>
      <c r="W331" s="2520">
        <f>W333</f>
        <v>0</v>
      </c>
    </row>
    <row r="332" spans="1:256" ht="52" hidden="1" x14ac:dyDescent="0.25">
      <c r="A332" s="32"/>
      <c r="B332" s="58" t="s">
        <v>192</v>
      </c>
      <c r="C332" s="9"/>
      <c r="D332" s="88" t="s">
        <v>15</v>
      </c>
      <c r="E332" s="9" t="s">
        <v>13</v>
      </c>
      <c r="F332" s="9" t="s">
        <v>191</v>
      </c>
      <c r="G332" s="9"/>
      <c r="H332" s="9"/>
      <c r="I332" s="9" t="s">
        <v>13</v>
      </c>
      <c r="J332" s="1065"/>
      <c r="K332" s="1065"/>
      <c r="L332" s="1065"/>
      <c r="M332" s="1552"/>
      <c r="N332" s="2549"/>
      <c r="O332" s="2933"/>
      <c r="P332" s="2934"/>
      <c r="Q332" s="2935"/>
      <c r="R332" s="2936"/>
      <c r="S332" s="2525"/>
      <c r="T332" s="2525"/>
      <c r="U332" s="2525"/>
      <c r="V332" s="2549"/>
      <c r="W332" s="2549"/>
    </row>
    <row r="333" spans="1:256" ht="13" hidden="1" x14ac:dyDescent="0.25">
      <c r="A333" s="32"/>
      <c r="B333" s="58" t="s">
        <v>39</v>
      </c>
      <c r="C333" s="9"/>
      <c r="D333" s="88"/>
      <c r="E333" s="9"/>
      <c r="F333" s="9" t="s">
        <v>191</v>
      </c>
      <c r="G333" s="9" t="s">
        <v>1</v>
      </c>
      <c r="H333" s="9" t="s">
        <v>463</v>
      </c>
      <c r="I333" s="9" t="s">
        <v>488</v>
      </c>
      <c r="J333" s="1061">
        <v>3497.6120000000001</v>
      </c>
      <c r="K333" s="1065"/>
      <c r="L333" s="1065"/>
      <c r="M333" s="1552"/>
      <c r="N333" s="2520">
        <v>0</v>
      </c>
      <c r="O333" s="2931">
        <v>48</v>
      </c>
      <c r="P333" s="2932">
        <v>816.12</v>
      </c>
      <c r="Q333" s="2618">
        <v>4981.808</v>
      </c>
      <c r="R333" s="2619">
        <f>3700-157</f>
        <v>3543</v>
      </c>
      <c r="S333" s="2525"/>
      <c r="T333" s="2525"/>
      <c r="U333" s="2525"/>
      <c r="V333" s="2520">
        <v>0</v>
      </c>
      <c r="W333" s="2520">
        <v>0</v>
      </c>
    </row>
    <row r="334" spans="1:256" ht="30" customHeight="1" x14ac:dyDescent="0.25">
      <c r="A334" s="32"/>
      <c r="B334" s="144" t="s">
        <v>1190</v>
      </c>
      <c r="C334" s="9"/>
      <c r="D334" s="88"/>
      <c r="E334" s="9"/>
      <c r="F334" s="9" t="s">
        <v>191</v>
      </c>
      <c r="G334" s="9"/>
      <c r="H334" s="9"/>
      <c r="I334" s="9"/>
      <c r="J334" s="1061"/>
      <c r="K334" s="1065"/>
      <c r="L334" s="1065"/>
      <c r="M334" s="1552"/>
      <c r="N334" s="2520">
        <f>N335</f>
        <v>1546.097</v>
      </c>
      <c r="O334" s="2931"/>
      <c r="P334" s="2932"/>
      <c r="Q334" s="2618"/>
      <c r="R334" s="2619"/>
      <c r="S334" s="2525"/>
      <c r="T334" s="2525"/>
      <c r="U334" s="2525"/>
      <c r="V334" s="2520">
        <f t="shared" ref="V334:W336" si="202">V335</f>
        <v>1840.0219999999999</v>
      </c>
      <c r="W334" s="2520">
        <f t="shared" si="202"/>
        <v>0</v>
      </c>
    </row>
    <row r="335" spans="1:256" ht="26" x14ac:dyDescent="0.25">
      <c r="A335" s="32"/>
      <c r="B335" s="144" t="s">
        <v>1061</v>
      </c>
      <c r="C335" s="9"/>
      <c r="D335" s="88"/>
      <c r="E335" s="9"/>
      <c r="F335" s="9" t="s">
        <v>191</v>
      </c>
      <c r="G335" s="9" t="s">
        <v>1060</v>
      </c>
      <c r="H335" s="9"/>
      <c r="I335" s="9"/>
      <c r="J335" s="1061"/>
      <c r="K335" s="1065"/>
      <c r="L335" s="1065"/>
      <c r="M335" s="1552"/>
      <c r="N335" s="2520">
        <f>N336</f>
        <v>1546.097</v>
      </c>
      <c r="O335" s="2931"/>
      <c r="P335" s="2932"/>
      <c r="Q335" s="2618"/>
      <c r="R335" s="2619"/>
      <c r="S335" s="2525"/>
      <c r="T335" s="2525"/>
      <c r="U335" s="2525"/>
      <c r="V335" s="2520">
        <f t="shared" si="202"/>
        <v>1840.0219999999999</v>
      </c>
      <c r="W335" s="2520">
        <f t="shared" si="202"/>
        <v>0</v>
      </c>
    </row>
    <row r="336" spans="1:256" ht="13" x14ac:dyDescent="0.25">
      <c r="A336" s="32"/>
      <c r="B336" s="58" t="s">
        <v>28</v>
      </c>
      <c r="C336" s="9"/>
      <c r="D336" s="88"/>
      <c r="E336" s="9"/>
      <c r="F336" s="9" t="s">
        <v>191</v>
      </c>
      <c r="G336" s="9" t="s">
        <v>26</v>
      </c>
      <c r="H336" s="9"/>
      <c r="I336" s="9"/>
      <c r="J336" s="1061"/>
      <c r="K336" s="1065"/>
      <c r="L336" s="1065"/>
      <c r="M336" s="1552"/>
      <c r="N336" s="2520">
        <f>N337</f>
        <v>1546.097</v>
      </c>
      <c r="O336" s="2931"/>
      <c r="P336" s="2932"/>
      <c r="Q336" s="2618"/>
      <c r="R336" s="2619"/>
      <c r="S336" s="2525"/>
      <c r="T336" s="2525"/>
      <c r="U336" s="2525"/>
      <c r="V336" s="2520">
        <f t="shared" si="202"/>
        <v>1840.0219999999999</v>
      </c>
      <c r="W336" s="2520">
        <f t="shared" si="202"/>
        <v>0</v>
      </c>
    </row>
    <row r="337" spans="1:23" ht="13" x14ac:dyDescent="0.25">
      <c r="A337" s="32"/>
      <c r="B337" s="58" t="s">
        <v>39</v>
      </c>
      <c r="C337" s="9"/>
      <c r="D337" s="88"/>
      <c r="E337" s="9"/>
      <c r="F337" s="9" t="s">
        <v>191</v>
      </c>
      <c r="G337" s="9" t="s">
        <v>26</v>
      </c>
      <c r="H337" s="9" t="s">
        <v>463</v>
      </c>
      <c r="I337" s="9" t="s">
        <v>488</v>
      </c>
      <c r="J337" s="1061"/>
      <c r="K337" s="1065"/>
      <c r="L337" s="1065"/>
      <c r="M337" s="1552"/>
      <c r="N337" s="2520">
        <f>600+606+220.097+120</f>
        <v>1546.097</v>
      </c>
      <c r="O337" s="2931"/>
      <c r="P337" s="2932"/>
      <c r="Q337" s="2618"/>
      <c r="R337" s="2619"/>
      <c r="S337" s="2525"/>
      <c r="T337" s="2525"/>
      <c r="U337" s="2525"/>
      <c r="V337" s="2520">
        <v>1840.0219999999999</v>
      </c>
      <c r="W337" s="2520">
        <v>0</v>
      </c>
    </row>
    <row r="338" spans="1:23" ht="26" x14ac:dyDescent="0.25">
      <c r="A338" s="32"/>
      <c r="B338" s="144" t="s">
        <v>193</v>
      </c>
      <c r="C338" s="9"/>
      <c r="D338" s="88"/>
      <c r="E338" s="9"/>
      <c r="F338" s="2026" t="s">
        <v>1008</v>
      </c>
      <c r="G338" s="9"/>
      <c r="H338" s="9"/>
      <c r="I338" s="9"/>
      <c r="J338" s="1061"/>
      <c r="K338" s="1065"/>
      <c r="L338" s="1065"/>
      <c r="M338" s="1552"/>
      <c r="N338" s="2520">
        <f>N340</f>
        <v>7876.79</v>
      </c>
      <c r="O338" s="2931"/>
      <c r="P338" s="2932"/>
      <c r="Q338" s="2618"/>
      <c r="R338" s="2619">
        <f>R340</f>
        <v>1600</v>
      </c>
      <c r="S338" s="2525"/>
      <c r="T338" s="2525"/>
      <c r="U338" s="2525"/>
      <c r="V338" s="2520">
        <f>V340</f>
        <v>5952.43</v>
      </c>
      <c r="W338" s="2520">
        <f>W340</f>
        <v>2492.16</v>
      </c>
    </row>
    <row r="339" spans="1:23" ht="26" x14ac:dyDescent="0.25">
      <c r="A339" s="32"/>
      <c r="B339" s="144" t="s">
        <v>1061</v>
      </c>
      <c r="C339" s="9"/>
      <c r="D339" s="88"/>
      <c r="E339" s="9"/>
      <c r="F339" s="2026" t="s">
        <v>1008</v>
      </c>
      <c r="G339" s="9" t="s">
        <v>1060</v>
      </c>
      <c r="H339" s="9"/>
      <c r="I339" s="9"/>
      <c r="J339" s="1061"/>
      <c r="K339" s="1065"/>
      <c r="L339" s="1065"/>
      <c r="M339" s="1552"/>
      <c r="N339" s="2520">
        <f>N340</f>
        <v>7876.79</v>
      </c>
      <c r="O339" s="2931"/>
      <c r="P339" s="2932"/>
      <c r="Q339" s="2618"/>
      <c r="R339" s="2619"/>
      <c r="S339" s="2525"/>
      <c r="T339" s="2525"/>
      <c r="U339" s="2525"/>
      <c r="V339" s="2520">
        <f>V340</f>
        <v>5952.43</v>
      </c>
      <c r="W339" s="2520">
        <f>W340</f>
        <v>2492.16</v>
      </c>
    </row>
    <row r="340" spans="1:23" ht="13" x14ac:dyDescent="0.25">
      <c r="A340" s="32"/>
      <c r="B340" s="58" t="s">
        <v>28</v>
      </c>
      <c r="C340" s="9"/>
      <c r="D340" s="88"/>
      <c r="E340" s="9"/>
      <c r="F340" s="2026" t="s">
        <v>1008</v>
      </c>
      <c r="G340" s="9" t="s">
        <v>26</v>
      </c>
      <c r="H340" s="9"/>
      <c r="I340" s="9"/>
      <c r="J340" s="1061"/>
      <c r="K340" s="1065"/>
      <c r="L340" s="1065"/>
      <c r="M340" s="1552"/>
      <c r="N340" s="2520">
        <f>N341</f>
        <v>7876.79</v>
      </c>
      <c r="O340" s="2931"/>
      <c r="P340" s="2932"/>
      <c r="Q340" s="2618"/>
      <c r="R340" s="2619">
        <f>R341</f>
        <v>1600</v>
      </c>
      <c r="S340" s="2525"/>
      <c r="T340" s="2525"/>
      <c r="U340" s="2525"/>
      <c r="V340" s="2520">
        <f>V341</f>
        <v>5952.43</v>
      </c>
      <c r="W340" s="2520">
        <f>W341</f>
        <v>2492.16</v>
      </c>
    </row>
    <row r="341" spans="1:23" ht="13" x14ac:dyDescent="0.25">
      <c r="A341" s="32"/>
      <c r="B341" s="58" t="s">
        <v>39</v>
      </c>
      <c r="C341" s="9"/>
      <c r="D341" s="88"/>
      <c r="E341" s="9"/>
      <c r="F341" s="2026" t="s">
        <v>1008</v>
      </c>
      <c r="G341" s="9" t="s">
        <v>26</v>
      </c>
      <c r="H341" s="9" t="s">
        <v>463</v>
      </c>
      <c r="I341" s="9" t="s">
        <v>488</v>
      </c>
      <c r="J341" s="1061"/>
      <c r="K341" s="1065"/>
      <c r="L341" s="1065"/>
      <c r="M341" s="1552"/>
      <c r="N341" s="2520">
        <f>6022.622+1854.168</f>
        <v>7876.79</v>
      </c>
      <c r="O341" s="2931"/>
      <c r="P341" s="2932"/>
      <c r="Q341" s="2618"/>
      <c r="R341" s="2619">
        <f>1443+157</f>
        <v>1600</v>
      </c>
      <c r="S341" s="2525"/>
      <c r="T341" s="2525"/>
      <c r="U341" s="2525"/>
      <c r="V341" s="2520">
        <f>15947.492-11122-1375.022+1328.89+636.202-1840.022+2376.89</f>
        <v>5952.43</v>
      </c>
      <c r="W341" s="2520">
        <f>23.92+2468.24</f>
        <v>2492.16</v>
      </c>
    </row>
    <row r="342" spans="1:23" ht="42" customHeight="1" x14ac:dyDescent="0.25">
      <c r="A342" s="91">
        <v>7</v>
      </c>
      <c r="B342" s="132" t="s">
        <v>915</v>
      </c>
      <c r="C342" s="9"/>
      <c r="D342" s="34" t="s">
        <v>15</v>
      </c>
      <c r="E342" s="34" t="s">
        <v>32</v>
      </c>
      <c r="F342" s="34" t="s">
        <v>189</v>
      </c>
      <c r="G342" s="131"/>
      <c r="H342" s="131"/>
      <c r="I342" s="34"/>
      <c r="J342" s="51">
        <f>J343</f>
        <v>7617.2000000000007</v>
      </c>
      <c r="K342" s="131"/>
      <c r="L342" s="51">
        <f>L344+L348</f>
        <v>7617.2</v>
      </c>
      <c r="M342" s="1562">
        <f>M344+M348</f>
        <v>7463.8</v>
      </c>
      <c r="N342" s="2549">
        <f>N343+N353</f>
        <v>30255.654000000002</v>
      </c>
      <c r="O342" s="2937">
        <f>O343</f>
        <v>32518.875</v>
      </c>
      <c r="P342" s="2938">
        <f>P343</f>
        <v>31004.17</v>
      </c>
      <c r="Q342" s="2518">
        <f>Q343</f>
        <v>33058.639999999999</v>
      </c>
      <c r="R342" s="2519">
        <f>R343</f>
        <v>34696.880000000005</v>
      </c>
      <c r="S342" s="2627"/>
      <c r="T342" s="2627"/>
      <c r="U342" s="2627"/>
      <c r="V342" s="2549">
        <f>V343+V353</f>
        <v>28925.802</v>
      </c>
      <c r="W342" s="2549">
        <f>W343+W353</f>
        <v>27887.218000000001</v>
      </c>
    </row>
    <row r="343" spans="1:23" ht="56.5" customHeight="1" x14ac:dyDescent="0.25">
      <c r="A343" s="91"/>
      <c r="B343" s="1098" t="s">
        <v>188</v>
      </c>
      <c r="C343" s="9"/>
      <c r="D343" s="34"/>
      <c r="E343" s="34"/>
      <c r="F343" s="9" t="s">
        <v>187</v>
      </c>
      <c r="G343" s="131"/>
      <c r="H343" s="131"/>
      <c r="I343" s="34"/>
      <c r="J343" s="47">
        <f>J344+J348</f>
        <v>7617.2000000000007</v>
      </c>
      <c r="K343" s="131"/>
      <c r="L343" s="51"/>
      <c r="M343" s="1562"/>
      <c r="N343" s="2389">
        <f>N347+N352</f>
        <v>29939.864000000001</v>
      </c>
      <c r="O343" s="2554">
        <f>O344+O348</f>
        <v>32518.875</v>
      </c>
      <c r="P343" s="2555">
        <f>P344+P348</f>
        <v>31004.17</v>
      </c>
      <c r="Q343" s="2556">
        <f>Q344+Q348</f>
        <v>33058.639999999999</v>
      </c>
      <c r="R343" s="2557">
        <f>R344+R348</f>
        <v>34696.880000000005</v>
      </c>
      <c r="S343" s="1972"/>
      <c r="T343" s="1972"/>
      <c r="U343" s="1972"/>
      <c r="V343" s="2389">
        <f>V347+V352</f>
        <v>28875.802</v>
      </c>
      <c r="W343" s="2389">
        <f>W347+W352</f>
        <v>27837.218000000001</v>
      </c>
    </row>
    <row r="344" spans="1:23" ht="39" x14ac:dyDescent="0.25">
      <c r="A344" s="32"/>
      <c r="B344" s="49" t="s">
        <v>186</v>
      </c>
      <c r="C344" s="9"/>
      <c r="D344" s="34" t="s">
        <v>15</v>
      </c>
      <c r="E344" s="34" t="s">
        <v>32</v>
      </c>
      <c r="F344" s="9" t="s">
        <v>185</v>
      </c>
      <c r="G344" s="9"/>
      <c r="H344" s="9"/>
      <c r="I344" s="34"/>
      <c r="J344" s="1061">
        <f>J346</f>
        <v>5253.4660000000003</v>
      </c>
      <c r="K344" s="1065"/>
      <c r="L344" s="1065">
        <f t="shared" ref="L344:R344" si="203">L346</f>
        <v>5406.2</v>
      </c>
      <c r="M344" s="1552">
        <f t="shared" si="203"/>
        <v>5230.3</v>
      </c>
      <c r="N344" s="2389">
        <f t="shared" si="203"/>
        <v>850</v>
      </c>
      <c r="O344" s="2485">
        <f t="shared" si="203"/>
        <v>10043.379999999999</v>
      </c>
      <c r="P344" s="2486">
        <f t="shared" si="203"/>
        <v>6288.7259999999997</v>
      </c>
      <c r="Q344" s="2487">
        <f t="shared" si="203"/>
        <v>2500</v>
      </c>
      <c r="R344" s="2488">
        <f t="shared" si="203"/>
        <v>2800</v>
      </c>
      <c r="S344" s="1972"/>
      <c r="T344" s="1972"/>
      <c r="U344" s="1972"/>
      <c r="V344" s="2389">
        <f t="shared" ref="V344:W344" si="204">V346</f>
        <v>2539.3449999999998</v>
      </c>
      <c r="W344" s="2389">
        <f t="shared" si="204"/>
        <v>1105.6199999999999</v>
      </c>
    </row>
    <row r="345" spans="1:23" ht="26" x14ac:dyDescent="0.25">
      <c r="A345" s="32"/>
      <c r="B345" s="49" t="s">
        <v>1048</v>
      </c>
      <c r="C345" s="9"/>
      <c r="D345" s="34"/>
      <c r="E345" s="34"/>
      <c r="F345" s="9" t="s">
        <v>185</v>
      </c>
      <c r="G345" s="9" t="s">
        <v>955</v>
      </c>
      <c r="H345" s="9"/>
      <c r="I345" s="34"/>
      <c r="J345" s="1061"/>
      <c r="K345" s="1065"/>
      <c r="L345" s="1065"/>
      <c r="M345" s="1552"/>
      <c r="N345" s="2389">
        <f>N346</f>
        <v>850</v>
      </c>
      <c r="O345" s="2485"/>
      <c r="P345" s="2486"/>
      <c r="Q345" s="2487"/>
      <c r="R345" s="2488"/>
      <c r="S345" s="1972"/>
      <c r="T345" s="1972"/>
      <c r="U345" s="1972"/>
      <c r="V345" s="2389">
        <f>V346</f>
        <v>2539.3449999999998</v>
      </c>
      <c r="W345" s="2389">
        <f>W346</f>
        <v>1105.6199999999999</v>
      </c>
    </row>
    <row r="346" spans="1:23" ht="25.15" customHeight="1" x14ac:dyDescent="0.25">
      <c r="A346" s="32"/>
      <c r="B346" s="1993" t="s">
        <v>4</v>
      </c>
      <c r="C346" s="9"/>
      <c r="D346" s="9" t="s">
        <v>15</v>
      </c>
      <c r="E346" s="9" t="s">
        <v>32</v>
      </c>
      <c r="F346" s="9" t="s">
        <v>185</v>
      </c>
      <c r="G346" s="9" t="s">
        <v>1</v>
      </c>
      <c r="H346" s="9"/>
      <c r="I346" s="9"/>
      <c r="J346" s="1061">
        <f>J347</f>
        <v>5253.4660000000003</v>
      </c>
      <c r="K346" s="1065"/>
      <c r="L346" s="1061">
        <v>5406.2</v>
      </c>
      <c r="M346" s="1550">
        <v>5230.3</v>
      </c>
      <c r="N346" s="2389">
        <f>N347</f>
        <v>850</v>
      </c>
      <c r="O346" s="2485">
        <f>O347</f>
        <v>10043.379999999999</v>
      </c>
      <c r="P346" s="2486">
        <f>P347</f>
        <v>6288.7259999999997</v>
      </c>
      <c r="Q346" s="2487">
        <f>Q347</f>
        <v>2500</v>
      </c>
      <c r="R346" s="2488">
        <f>R347</f>
        <v>2800</v>
      </c>
      <c r="S346" s="1972"/>
      <c r="T346" s="1972"/>
      <c r="U346" s="1972"/>
      <c r="V346" s="2389">
        <f>V347</f>
        <v>2539.3449999999998</v>
      </c>
      <c r="W346" s="2389">
        <f>W347</f>
        <v>1105.6199999999999</v>
      </c>
    </row>
    <row r="347" spans="1:23" ht="13" x14ac:dyDescent="0.3">
      <c r="A347" s="32"/>
      <c r="B347" s="744" t="s">
        <v>34</v>
      </c>
      <c r="C347" s="9"/>
      <c r="D347" s="9"/>
      <c r="E347" s="9"/>
      <c r="F347" s="9" t="s">
        <v>185</v>
      </c>
      <c r="G347" s="9" t="s">
        <v>1</v>
      </c>
      <c r="H347" s="9" t="s">
        <v>463</v>
      </c>
      <c r="I347" s="9" t="s">
        <v>495</v>
      </c>
      <c r="J347" s="1061">
        <v>5253.4660000000003</v>
      </c>
      <c r="K347" s="1065"/>
      <c r="L347" s="1061"/>
      <c r="M347" s="1550"/>
      <c r="N347" s="2389">
        <f>1850-1000</f>
        <v>850</v>
      </c>
      <c r="O347" s="2485">
        <v>10043.379999999999</v>
      </c>
      <c r="P347" s="2486">
        <v>6288.7259999999997</v>
      </c>
      <c r="Q347" s="2558">
        <v>2500</v>
      </c>
      <c r="R347" s="2559">
        <v>2800</v>
      </c>
      <c r="S347" s="1972"/>
      <c r="T347" s="1972"/>
      <c r="U347" s="1972"/>
      <c r="V347" s="2389">
        <v>2539.3449999999998</v>
      </c>
      <c r="W347" s="2389">
        <v>1105.6199999999999</v>
      </c>
    </row>
    <row r="348" spans="1:23" ht="39" x14ac:dyDescent="0.25">
      <c r="A348" s="32"/>
      <c r="B348" s="49" t="s">
        <v>184</v>
      </c>
      <c r="C348" s="9"/>
      <c r="D348" s="34" t="s">
        <v>15</v>
      </c>
      <c r="E348" s="34" t="s">
        <v>32</v>
      </c>
      <c r="F348" s="9" t="s">
        <v>183</v>
      </c>
      <c r="G348" s="9"/>
      <c r="H348" s="9"/>
      <c r="I348" s="34"/>
      <c r="J348" s="1061">
        <f>J350</f>
        <v>2363.7339999999999</v>
      </c>
      <c r="K348" s="1064"/>
      <c r="L348" s="1064">
        <f>L350</f>
        <v>2211</v>
      </c>
      <c r="M348" s="1563">
        <f>M350</f>
        <v>2233.5</v>
      </c>
      <c r="N348" s="2389">
        <f>N350</f>
        <v>29089.864000000001</v>
      </c>
      <c r="O348" s="2485">
        <f>O350</f>
        <v>22475.494999999999</v>
      </c>
      <c r="P348" s="2486">
        <f>P350</f>
        <v>24715.444</v>
      </c>
      <c r="Q348" s="2487">
        <f>Q350+Q354</f>
        <v>30558.639999999999</v>
      </c>
      <c r="R348" s="2488">
        <f>R350+R354</f>
        <v>31896.880000000001</v>
      </c>
      <c r="S348" s="1972"/>
      <c r="T348" s="1972"/>
      <c r="U348" s="1972"/>
      <c r="V348" s="2389">
        <f>V350</f>
        <v>26336.456999999999</v>
      </c>
      <c r="W348" s="2389">
        <f>W350</f>
        <v>26731.598000000002</v>
      </c>
    </row>
    <row r="349" spans="1:23" ht="26" x14ac:dyDescent="0.25">
      <c r="A349" s="32"/>
      <c r="B349" s="49" t="s">
        <v>1048</v>
      </c>
      <c r="C349" s="9"/>
      <c r="D349" s="34"/>
      <c r="E349" s="34"/>
      <c r="F349" s="9" t="s">
        <v>183</v>
      </c>
      <c r="G349" s="9" t="s">
        <v>955</v>
      </c>
      <c r="H349" s="9"/>
      <c r="I349" s="34"/>
      <c r="J349" s="1061"/>
      <c r="K349" s="1064"/>
      <c r="L349" s="1064"/>
      <c r="M349" s="1563"/>
      <c r="N349" s="2389">
        <f>N350</f>
        <v>29089.864000000001</v>
      </c>
      <c r="O349" s="2485"/>
      <c r="P349" s="2486"/>
      <c r="Q349" s="2487"/>
      <c r="R349" s="2488"/>
      <c r="S349" s="1972"/>
      <c r="T349" s="1972"/>
      <c r="U349" s="1972"/>
      <c r="V349" s="2389">
        <f>V350</f>
        <v>26336.456999999999</v>
      </c>
      <c r="W349" s="2389">
        <f>W350</f>
        <v>26731.598000000002</v>
      </c>
    </row>
    <row r="350" spans="1:23" ht="25.15" customHeight="1" x14ac:dyDescent="0.25">
      <c r="A350" s="32"/>
      <c r="B350" s="1993" t="s">
        <v>4</v>
      </c>
      <c r="C350" s="9"/>
      <c r="D350" s="9" t="s">
        <v>15</v>
      </c>
      <c r="E350" s="9" t="s">
        <v>32</v>
      </c>
      <c r="F350" s="9" t="s">
        <v>183</v>
      </c>
      <c r="G350" s="9" t="s">
        <v>1</v>
      </c>
      <c r="H350" s="9"/>
      <c r="I350" s="9"/>
      <c r="J350" s="1061">
        <f>J352</f>
        <v>2363.7339999999999</v>
      </c>
      <c r="K350" s="1064"/>
      <c r="L350" s="1064">
        <v>2211</v>
      </c>
      <c r="M350" s="1563">
        <v>2233.5</v>
      </c>
      <c r="N350" s="2389">
        <f>N352</f>
        <v>29089.864000000001</v>
      </c>
      <c r="O350" s="2485">
        <f>O352</f>
        <v>22475.494999999999</v>
      </c>
      <c r="P350" s="2486">
        <f>P352</f>
        <v>24715.444</v>
      </c>
      <c r="Q350" s="2487">
        <f>Q352</f>
        <v>30558.639999999999</v>
      </c>
      <c r="R350" s="2488">
        <f>R352</f>
        <v>31896.880000000001</v>
      </c>
      <c r="S350" s="1972"/>
      <c r="T350" s="1972"/>
      <c r="U350" s="1972"/>
      <c r="V350" s="2389">
        <f>V352</f>
        <v>26336.456999999999</v>
      </c>
      <c r="W350" s="2389">
        <f>W352</f>
        <v>26731.598000000002</v>
      </c>
    </row>
    <row r="351" spans="1:23" ht="18.649999999999999" hidden="1" customHeight="1" x14ac:dyDescent="0.3">
      <c r="A351" s="32"/>
      <c r="B351" s="2003"/>
      <c r="C351" s="9"/>
      <c r="D351" s="9"/>
      <c r="E351" s="9"/>
      <c r="F351" s="9"/>
      <c r="G351" s="9"/>
      <c r="H351" s="9"/>
      <c r="I351" s="9"/>
      <c r="J351" s="1061"/>
      <c r="K351" s="1064"/>
      <c r="L351" s="1064"/>
      <c r="M351" s="1563"/>
      <c r="N351" s="2389"/>
      <c r="O351" s="2485"/>
      <c r="P351" s="2486"/>
      <c r="Q351" s="2487"/>
      <c r="R351" s="2488"/>
      <c r="S351" s="1972"/>
      <c r="T351" s="1972"/>
      <c r="U351" s="1972"/>
      <c r="V351" s="2389"/>
      <c r="W351" s="2389"/>
    </row>
    <row r="352" spans="1:23" ht="13" x14ac:dyDescent="0.3">
      <c r="A352" s="32"/>
      <c r="B352" s="744" t="s">
        <v>34</v>
      </c>
      <c r="C352" s="9"/>
      <c r="D352" s="9"/>
      <c r="E352" s="9"/>
      <c r="F352" s="9" t="s">
        <v>183</v>
      </c>
      <c r="G352" s="9" t="s">
        <v>1</v>
      </c>
      <c r="H352" s="9" t="s">
        <v>463</v>
      </c>
      <c r="I352" s="9" t="s">
        <v>495</v>
      </c>
      <c r="J352" s="1061">
        <v>2363.7339999999999</v>
      </c>
      <c r="K352" s="1064"/>
      <c r="L352" s="1064"/>
      <c r="M352" s="1563"/>
      <c r="N352" s="2389">
        <f>26264.21+17.544+2808.11</f>
        <v>29089.864000000001</v>
      </c>
      <c r="O352" s="2485">
        <v>22475.494999999999</v>
      </c>
      <c r="P352" s="2486">
        <v>24715.444</v>
      </c>
      <c r="Q352" s="2487">
        <v>30558.639999999999</v>
      </c>
      <c r="R352" s="2488">
        <v>31896.880000000001</v>
      </c>
      <c r="S352" s="1972"/>
      <c r="T352" s="1972"/>
      <c r="U352" s="1972"/>
      <c r="V352" s="2389">
        <v>26336.456999999999</v>
      </c>
      <c r="W352" s="2389">
        <v>26731.598000000002</v>
      </c>
    </row>
    <row r="353" spans="1:256" ht="31" customHeight="1" x14ac:dyDescent="0.3">
      <c r="A353" s="32"/>
      <c r="B353" s="2012" t="s">
        <v>1117</v>
      </c>
      <c r="C353" s="9"/>
      <c r="D353" s="9"/>
      <c r="E353" s="9"/>
      <c r="F353" s="9" t="s">
        <v>1116</v>
      </c>
      <c r="G353" s="9"/>
      <c r="H353" s="9"/>
      <c r="I353" s="9"/>
      <c r="J353" s="1061"/>
      <c r="K353" s="1064"/>
      <c r="L353" s="1064"/>
      <c r="M353" s="1563"/>
      <c r="N353" s="2389">
        <f>N354</f>
        <v>315.79000000000002</v>
      </c>
      <c r="O353" s="2485"/>
      <c r="P353" s="2486"/>
      <c r="Q353" s="2487"/>
      <c r="R353" s="2488"/>
      <c r="S353" s="1972"/>
      <c r="T353" s="1972"/>
      <c r="U353" s="1972"/>
      <c r="V353" s="2389">
        <f>V354</f>
        <v>50</v>
      </c>
      <c r="W353" s="2389">
        <f>W354</f>
        <v>50</v>
      </c>
    </row>
    <row r="354" spans="1:256" s="2" customFormat="1" ht="31" customHeight="1" x14ac:dyDescent="0.25">
      <c r="A354" s="32"/>
      <c r="B354" s="2238" t="s">
        <v>1118</v>
      </c>
      <c r="C354" s="9"/>
      <c r="D354" s="9"/>
      <c r="E354" s="9"/>
      <c r="F354" s="9" t="s">
        <v>1115</v>
      </c>
      <c r="G354" s="9"/>
      <c r="H354" s="9"/>
      <c r="I354" s="9"/>
      <c r="J354" s="1061"/>
      <c r="K354" s="1064"/>
      <c r="L354" s="1064"/>
      <c r="M354" s="1563"/>
      <c r="N354" s="2389">
        <f>N356</f>
        <v>315.79000000000002</v>
      </c>
      <c r="O354" s="2485"/>
      <c r="P354" s="2486"/>
      <c r="Q354" s="2487">
        <f>Q356</f>
        <v>0</v>
      </c>
      <c r="R354" s="2488">
        <f>R356</f>
        <v>0</v>
      </c>
      <c r="S354" s="1972"/>
      <c r="T354" s="1972"/>
      <c r="U354" s="1972"/>
      <c r="V354" s="2389">
        <f>V356</f>
        <v>50</v>
      </c>
      <c r="W354" s="2389">
        <f>W356</f>
        <v>50</v>
      </c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6" x14ac:dyDescent="0.25">
      <c r="A355" s="32"/>
      <c r="B355" s="49" t="s">
        <v>1048</v>
      </c>
      <c r="C355" s="9"/>
      <c r="D355" s="9"/>
      <c r="E355" s="9"/>
      <c r="F355" s="9" t="s">
        <v>1115</v>
      </c>
      <c r="G355" s="9" t="s">
        <v>955</v>
      </c>
      <c r="H355" s="9"/>
      <c r="I355" s="9"/>
      <c r="J355" s="1061"/>
      <c r="K355" s="1064"/>
      <c r="L355" s="1064"/>
      <c r="M355" s="1563"/>
      <c r="N355" s="2389">
        <f>N356</f>
        <v>315.79000000000002</v>
      </c>
      <c r="O355" s="2485"/>
      <c r="P355" s="2486"/>
      <c r="Q355" s="2487"/>
      <c r="R355" s="2488"/>
      <c r="S355" s="1972"/>
      <c r="T355" s="1972"/>
      <c r="U355" s="1972"/>
      <c r="V355" s="2389">
        <f>V356</f>
        <v>50</v>
      </c>
      <c r="W355" s="2389">
        <f>W356</f>
        <v>50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6" x14ac:dyDescent="0.25">
      <c r="A356" s="32"/>
      <c r="B356" s="1993" t="s">
        <v>4</v>
      </c>
      <c r="C356" s="9"/>
      <c r="D356" s="9"/>
      <c r="E356" s="9"/>
      <c r="F356" s="9" t="s">
        <v>1115</v>
      </c>
      <c r="G356" s="9" t="s">
        <v>1</v>
      </c>
      <c r="H356" s="9"/>
      <c r="I356" s="9"/>
      <c r="J356" s="1061"/>
      <c r="K356" s="1064"/>
      <c r="L356" s="1064"/>
      <c r="M356" s="1563"/>
      <c r="N356" s="2389">
        <f>N357</f>
        <v>315.79000000000002</v>
      </c>
      <c r="O356" s="2485"/>
      <c r="P356" s="2486"/>
      <c r="Q356" s="2487">
        <v>0</v>
      </c>
      <c r="R356" s="2488">
        <v>0</v>
      </c>
      <c r="S356" s="1972"/>
      <c r="T356" s="1972"/>
      <c r="U356" s="1972"/>
      <c r="V356" s="2389">
        <f>V357</f>
        <v>50</v>
      </c>
      <c r="W356" s="2389">
        <f>W357</f>
        <v>50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13" x14ac:dyDescent="0.3">
      <c r="A357" s="32"/>
      <c r="B357" s="744" t="s">
        <v>34</v>
      </c>
      <c r="C357" s="9"/>
      <c r="D357" s="9"/>
      <c r="E357" s="9"/>
      <c r="F357" s="9" t="s">
        <v>1115</v>
      </c>
      <c r="G357" s="9" t="s">
        <v>1</v>
      </c>
      <c r="H357" s="9" t="s">
        <v>463</v>
      </c>
      <c r="I357" s="9" t="s">
        <v>495</v>
      </c>
      <c r="J357" s="1061"/>
      <c r="K357" s="1064"/>
      <c r="L357" s="1064"/>
      <c r="M357" s="1563"/>
      <c r="N357" s="2389">
        <f>333.334-17.544</f>
        <v>315.79000000000002</v>
      </c>
      <c r="O357" s="2485"/>
      <c r="P357" s="2486"/>
      <c r="Q357" s="2487"/>
      <c r="R357" s="2488"/>
      <c r="S357" s="1972"/>
      <c r="T357" s="1972"/>
      <c r="U357" s="1972"/>
      <c r="V357" s="2389">
        <v>50</v>
      </c>
      <c r="W357" s="2389">
        <v>50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65" x14ac:dyDescent="0.25">
      <c r="A358" s="91">
        <v>8</v>
      </c>
      <c r="B358" s="2033" t="s">
        <v>917</v>
      </c>
      <c r="C358" s="9"/>
      <c r="D358" s="9"/>
      <c r="E358" s="9"/>
      <c r="F358" s="34" t="s">
        <v>181</v>
      </c>
      <c r="G358" s="9"/>
      <c r="H358" s="9"/>
      <c r="I358" s="9"/>
      <c r="J358" s="1061"/>
      <c r="K358" s="1064"/>
      <c r="L358" s="1064"/>
      <c r="M358" s="1563"/>
      <c r="N358" s="2481">
        <f>N359+N365+N396</f>
        <v>26.154840000000149</v>
      </c>
      <c r="O358" s="2495">
        <f>O359</f>
        <v>402.59899999999999</v>
      </c>
      <c r="P358" s="2496">
        <f>P359</f>
        <v>442.85899999999998</v>
      </c>
      <c r="Q358" s="2497">
        <f>Q359</f>
        <v>0</v>
      </c>
      <c r="R358" s="2484">
        <f>R359</f>
        <v>0</v>
      </c>
      <c r="S358" s="1972"/>
      <c r="T358" s="1972"/>
      <c r="U358" s="1972"/>
      <c r="V358" s="2481">
        <f>V369+V372+V396</f>
        <v>1000</v>
      </c>
      <c r="W358" s="2481">
        <f>W369+W372+W396</f>
        <v>1328.232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39" hidden="1" x14ac:dyDescent="0.25">
      <c r="A359" s="32"/>
      <c r="B359" s="1093" t="s">
        <v>180</v>
      </c>
      <c r="C359" s="9"/>
      <c r="D359" s="9"/>
      <c r="E359" s="9"/>
      <c r="F359" s="9" t="s">
        <v>179</v>
      </c>
      <c r="G359" s="9"/>
      <c r="H359" s="9"/>
      <c r="I359" s="9"/>
      <c r="J359" s="1061"/>
      <c r="K359" s="1064"/>
      <c r="L359" s="1064"/>
      <c r="M359" s="1563"/>
      <c r="N359" s="2389">
        <f>N360</f>
        <v>0</v>
      </c>
      <c r="O359" s="2485">
        <f>O366+O360</f>
        <v>402.59899999999999</v>
      </c>
      <c r="P359" s="2486">
        <f>P366+P360</f>
        <v>442.85899999999998</v>
      </c>
      <c r="Q359" s="2487">
        <f>Q366+Q360</f>
        <v>0</v>
      </c>
      <c r="R359" s="2488">
        <f>R366+R360</f>
        <v>0</v>
      </c>
      <c r="S359" s="1972"/>
      <c r="T359" s="1972"/>
      <c r="U359" s="1972"/>
      <c r="V359" s="2389">
        <f>V360</f>
        <v>0</v>
      </c>
      <c r="W359" s="2389">
        <f>W360</f>
        <v>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26" hidden="1" x14ac:dyDescent="0.25">
      <c r="A360" s="32"/>
      <c r="B360" s="1098" t="s">
        <v>23</v>
      </c>
      <c r="C360" s="9"/>
      <c r="D360" s="9"/>
      <c r="E360" s="9"/>
      <c r="F360" s="9" t="s">
        <v>178</v>
      </c>
      <c r="G360" s="9"/>
      <c r="H360" s="9"/>
      <c r="I360" s="9"/>
      <c r="J360" s="1061"/>
      <c r="K360" s="1064"/>
      <c r="L360" s="1064"/>
      <c r="M360" s="1563"/>
      <c r="N360" s="2389">
        <f>N362+N364</f>
        <v>0</v>
      </c>
      <c r="O360" s="2485">
        <f t="shared" ref="O360:R360" si="205">O363</f>
        <v>0</v>
      </c>
      <c r="P360" s="2486">
        <f t="shared" si="205"/>
        <v>0</v>
      </c>
      <c r="Q360" s="2487">
        <f t="shared" si="205"/>
        <v>0</v>
      </c>
      <c r="R360" s="2488">
        <f t="shared" si="205"/>
        <v>0</v>
      </c>
      <c r="S360" s="1972"/>
      <c r="T360" s="1972"/>
      <c r="U360" s="1972"/>
      <c r="V360" s="2389">
        <f>V362+V364</f>
        <v>0</v>
      </c>
      <c r="W360" s="2389">
        <f>W362+W364</f>
        <v>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6" hidden="1" x14ac:dyDescent="0.25">
      <c r="A361" s="32"/>
      <c r="B361" s="1544" t="s">
        <v>454</v>
      </c>
      <c r="C361" s="9"/>
      <c r="D361" s="9"/>
      <c r="E361" s="9"/>
      <c r="F361" s="9" t="s">
        <v>178</v>
      </c>
      <c r="G361" s="9" t="s">
        <v>1</v>
      </c>
      <c r="H361" s="9"/>
      <c r="I361" s="9"/>
      <c r="J361" s="1061"/>
      <c r="K361" s="1064"/>
      <c r="L361" s="1064"/>
      <c r="M361" s="1563"/>
      <c r="N361" s="2389">
        <f>N362</f>
        <v>0</v>
      </c>
      <c r="O361" s="2485"/>
      <c r="P361" s="2486"/>
      <c r="Q361" s="2487"/>
      <c r="R361" s="2488"/>
      <c r="S361" s="1972"/>
      <c r="T361" s="1972"/>
      <c r="U361" s="1972"/>
      <c r="V361" s="2389">
        <f>V362</f>
        <v>0</v>
      </c>
      <c r="W361" s="2389">
        <f>W362</f>
        <v>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t="13" hidden="1" x14ac:dyDescent="0.3">
      <c r="A362" s="32"/>
      <c r="B362" s="744" t="s">
        <v>39</v>
      </c>
      <c r="C362" s="9"/>
      <c r="D362" s="9"/>
      <c r="E362" s="9"/>
      <c r="F362" s="9" t="s">
        <v>178</v>
      </c>
      <c r="G362" s="9" t="s">
        <v>1</v>
      </c>
      <c r="H362" s="9" t="s">
        <v>463</v>
      </c>
      <c r="I362" s="9" t="s">
        <v>488</v>
      </c>
      <c r="J362" s="1061"/>
      <c r="K362" s="1064"/>
      <c r="L362" s="1064"/>
      <c r="M362" s="1563"/>
      <c r="N362" s="2389"/>
      <c r="O362" s="2485"/>
      <c r="P362" s="2486"/>
      <c r="Q362" s="2487"/>
      <c r="R362" s="2488"/>
      <c r="S362" s="1972"/>
      <c r="T362" s="1972"/>
      <c r="U362" s="1972"/>
      <c r="V362" s="2389"/>
      <c r="W362" s="2389"/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13" hidden="1" x14ac:dyDescent="0.25">
      <c r="A363" s="32"/>
      <c r="B363" s="1544" t="s">
        <v>481</v>
      </c>
      <c r="C363" s="9"/>
      <c r="D363" s="9"/>
      <c r="E363" s="9"/>
      <c r="F363" s="9" t="s">
        <v>178</v>
      </c>
      <c r="G363" s="9" t="s">
        <v>26</v>
      </c>
      <c r="H363" s="9"/>
      <c r="I363" s="9"/>
      <c r="J363" s="1061"/>
      <c r="K363" s="1064"/>
      <c r="L363" s="1064"/>
      <c r="M363" s="1563"/>
      <c r="N363" s="2560">
        <f>N364</f>
        <v>0</v>
      </c>
      <c r="O363" s="2485">
        <f>O364</f>
        <v>0</v>
      </c>
      <c r="P363" s="2486">
        <f>P364</f>
        <v>0</v>
      </c>
      <c r="Q363" s="2487">
        <f>Q364</f>
        <v>0</v>
      </c>
      <c r="R363" s="2488">
        <f>R364</f>
        <v>0</v>
      </c>
      <c r="S363" s="1972"/>
      <c r="T363" s="1972"/>
      <c r="U363" s="1972"/>
      <c r="V363" s="2560">
        <f>V364</f>
        <v>0</v>
      </c>
      <c r="W363" s="2560">
        <f>W364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39</v>
      </c>
      <c r="C364" s="9"/>
      <c r="D364" s="9"/>
      <c r="E364" s="9"/>
      <c r="F364" s="9" t="s">
        <v>178</v>
      </c>
      <c r="G364" s="9" t="s">
        <v>26</v>
      </c>
      <c r="H364" s="9" t="s">
        <v>463</v>
      </c>
      <c r="I364" s="9" t="s">
        <v>488</v>
      </c>
      <c r="J364" s="1061"/>
      <c r="K364" s="1064"/>
      <c r="L364" s="1064"/>
      <c r="M364" s="1563"/>
      <c r="N364" s="2503"/>
      <c r="O364" s="2504"/>
      <c r="P364" s="2505"/>
      <c r="Q364" s="2506"/>
      <c r="R364" s="2507"/>
      <c r="S364" s="1972"/>
      <c r="T364" s="1972"/>
      <c r="U364" s="1972"/>
      <c r="V364" s="2503"/>
      <c r="W364" s="2503"/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5" customHeight="1" x14ac:dyDescent="0.25">
      <c r="A365" s="32"/>
      <c r="B365" s="337" t="s">
        <v>1009</v>
      </c>
      <c r="C365" s="9"/>
      <c r="D365" s="9"/>
      <c r="E365" s="9"/>
      <c r="F365" s="9" t="s">
        <v>1010</v>
      </c>
      <c r="G365" s="9"/>
      <c r="H365" s="9"/>
      <c r="I365" s="9"/>
      <c r="J365" s="1061"/>
      <c r="K365" s="1064"/>
      <c r="L365" s="1064"/>
      <c r="M365" s="1563"/>
      <c r="N365" s="2503">
        <f>N366</f>
        <v>26.154840000000149</v>
      </c>
      <c r="O365" s="2504"/>
      <c r="P365" s="2505"/>
      <c r="Q365" s="2506"/>
      <c r="R365" s="2507"/>
      <c r="S365" s="1972"/>
      <c r="T365" s="1972"/>
      <c r="U365" s="1972"/>
      <c r="V365" s="2503">
        <f>V366</f>
        <v>1000</v>
      </c>
      <c r="W365" s="2503">
        <f>W366</f>
        <v>1000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32"/>
      <c r="B366" s="1108" t="s">
        <v>1011</v>
      </c>
      <c r="C366" s="9"/>
      <c r="D366" s="9"/>
      <c r="E366" s="9"/>
      <c r="F366" s="9" t="s">
        <v>1012</v>
      </c>
      <c r="G366" s="9"/>
      <c r="H366" s="9"/>
      <c r="I366" s="9"/>
      <c r="J366" s="1061"/>
      <c r="K366" s="1064"/>
      <c r="L366" s="1064"/>
      <c r="M366" s="1563"/>
      <c r="N366" s="2503">
        <f>N371</f>
        <v>26.154840000000149</v>
      </c>
      <c r="O366" s="2504">
        <f>O371</f>
        <v>402.59899999999999</v>
      </c>
      <c r="P366" s="2505">
        <f>P371</f>
        <v>442.85899999999998</v>
      </c>
      <c r="Q366" s="2506">
        <f>Q371</f>
        <v>0</v>
      </c>
      <c r="R366" s="2507">
        <f>R371</f>
        <v>0</v>
      </c>
      <c r="S366" s="1972"/>
      <c r="T366" s="1972"/>
      <c r="U366" s="1972"/>
      <c r="V366" s="2503">
        <f>V371+V369</f>
        <v>1000</v>
      </c>
      <c r="W366" s="2503">
        <f>W371+W369</f>
        <v>1000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26" hidden="1" x14ac:dyDescent="0.25">
      <c r="A367" s="32"/>
      <c r="B367" s="49" t="s">
        <v>1048</v>
      </c>
      <c r="C367" s="9"/>
      <c r="D367" s="9"/>
      <c r="E367" s="9"/>
      <c r="F367" s="9" t="s">
        <v>1012</v>
      </c>
      <c r="G367" s="9" t="s">
        <v>955</v>
      </c>
      <c r="H367" s="9"/>
      <c r="I367" s="9"/>
      <c r="J367" s="1061"/>
      <c r="K367" s="1064"/>
      <c r="L367" s="1064"/>
      <c r="M367" s="1563"/>
      <c r="N367" s="2536">
        <f>N368</f>
        <v>0</v>
      </c>
      <c r="O367" s="2504"/>
      <c r="P367" s="2505"/>
      <c r="Q367" s="2506"/>
      <c r="R367" s="2507"/>
      <c r="S367" s="1972"/>
      <c r="T367" s="1972"/>
      <c r="U367" s="1972"/>
      <c r="V367" s="2536">
        <f t="shared" ref="V367:W368" si="206">V368</f>
        <v>0</v>
      </c>
      <c r="W367" s="2536">
        <f t="shared" si="206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6" hidden="1" x14ac:dyDescent="0.25">
      <c r="A368" s="32"/>
      <c r="B368" s="1544" t="s">
        <v>454</v>
      </c>
      <c r="C368" s="9"/>
      <c r="D368" s="9"/>
      <c r="E368" s="9"/>
      <c r="F368" s="9" t="s">
        <v>1012</v>
      </c>
      <c r="G368" s="9" t="s">
        <v>1</v>
      </c>
      <c r="H368" s="9"/>
      <c r="I368" s="9"/>
      <c r="J368" s="1061"/>
      <c r="K368" s="1064"/>
      <c r="L368" s="1064"/>
      <c r="M368" s="1563"/>
      <c r="N368" s="2536">
        <f>N369</f>
        <v>0</v>
      </c>
      <c r="O368" s="2504"/>
      <c r="P368" s="2505"/>
      <c r="Q368" s="2506"/>
      <c r="R368" s="2507"/>
      <c r="S368" s="1972"/>
      <c r="T368" s="1972"/>
      <c r="U368" s="1972"/>
      <c r="V368" s="2536">
        <f t="shared" si="206"/>
        <v>0</v>
      </c>
      <c r="W368" s="2536">
        <f t="shared" si="206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13" hidden="1" x14ac:dyDescent="0.3">
      <c r="A369" s="32"/>
      <c r="B369" s="744" t="s">
        <v>39</v>
      </c>
      <c r="C369" s="9"/>
      <c r="D369" s="9"/>
      <c r="E369" s="9"/>
      <c r="F369" s="9" t="s">
        <v>1012</v>
      </c>
      <c r="G369" s="9" t="s">
        <v>1</v>
      </c>
      <c r="H369" s="9" t="s">
        <v>463</v>
      </c>
      <c r="I369" s="9" t="s">
        <v>488</v>
      </c>
      <c r="J369" s="1061"/>
      <c r="K369" s="1064"/>
      <c r="L369" s="1064"/>
      <c r="M369" s="1563"/>
      <c r="N369" s="2536">
        <v>0</v>
      </c>
      <c r="O369" s="2504"/>
      <c r="P369" s="2505"/>
      <c r="Q369" s="2506"/>
      <c r="R369" s="2507"/>
      <c r="S369" s="1972"/>
      <c r="T369" s="1972"/>
      <c r="U369" s="1972"/>
      <c r="V369" s="2536">
        <v>0</v>
      </c>
      <c r="W369" s="2536">
        <v>0</v>
      </c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32"/>
      <c r="B370" s="2152" t="s">
        <v>1065</v>
      </c>
      <c r="C370" s="9"/>
      <c r="D370" s="9"/>
      <c r="E370" s="9"/>
      <c r="F370" s="9" t="s">
        <v>1012</v>
      </c>
      <c r="G370" s="9" t="s">
        <v>1064</v>
      </c>
      <c r="H370" s="9"/>
      <c r="I370" s="9"/>
      <c r="J370" s="1061"/>
      <c r="K370" s="1064"/>
      <c r="L370" s="1064"/>
      <c r="M370" s="1563"/>
      <c r="N370" s="2536">
        <f>N371</f>
        <v>26.154840000000149</v>
      </c>
      <c r="O370" s="2561"/>
      <c r="P370" s="2562"/>
      <c r="Q370" s="2563"/>
      <c r="R370" s="2564"/>
      <c r="S370" s="2565"/>
      <c r="T370" s="2565"/>
      <c r="U370" s="2565"/>
      <c r="V370" s="2566">
        <f>V371</f>
        <v>1000</v>
      </c>
      <c r="W370" s="2566">
        <f>W371</f>
        <v>1000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6" x14ac:dyDescent="0.25">
      <c r="A371" s="32"/>
      <c r="B371" s="1544" t="s">
        <v>523</v>
      </c>
      <c r="C371" s="9"/>
      <c r="D371" s="9"/>
      <c r="E371" s="9"/>
      <c r="F371" s="9" t="s">
        <v>1012</v>
      </c>
      <c r="G371" s="9" t="s">
        <v>521</v>
      </c>
      <c r="H371" s="9"/>
      <c r="I371" s="9"/>
      <c r="J371" s="1061"/>
      <c r="K371" s="1064"/>
      <c r="L371" s="1064"/>
      <c r="M371" s="1563"/>
      <c r="N371" s="2503">
        <f>N372</f>
        <v>26.154840000000149</v>
      </c>
      <c r="O371" s="2504">
        <f t="shared" ref="O371:R371" si="207">O372</f>
        <v>402.59899999999999</v>
      </c>
      <c r="P371" s="2505">
        <f t="shared" si="207"/>
        <v>442.85899999999998</v>
      </c>
      <c r="Q371" s="2506">
        <f t="shared" si="207"/>
        <v>0</v>
      </c>
      <c r="R371" s="2507">
        <f t="shared" si="207"/>
        <v>0</v>
      </c>
      <c r="S371" s="1972"/>
      <c r="T371" s="1972"/>
      <c r="U371" s="1972"/>
      <c r="V371" s="2503">
        <f>V372</f>
        <v>1000</v>
      </c>
      <c r="W371" s="2503">
        <f>W372</f>
        <v>1000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13" x14ac:dyDescent="0.3">
      <c r="A372" s="32"/>
      <c r="B372" s="744" t="s">
        <v>39</v>
      </c>
      <c r="C372" s="9"/>
      <c r="D372" s="9"/>
      <c r="E372" s="9"/>
      <c r="F372" s="9" t="s">
        <v>1012</v>
      </c>
      <c r="G372" s="9" t="s">
        <v>521</v>
      </c>
      <c r="H372" s="9" t="s">
        <v>463</v>
      </c>
      <c r="I372" s="9" t="s">
        <v>488</v>
      </c>
      <c r="J372" s="1061"/>
      <c r="K372" s="1064"/>
      <c r="L372" s="1064"/>
      <c r="M372" s="1563"/>
      <c r="N372" s="2389">
        <f>2243.235-1500-717.08016</f>
        <v>26.154840000000149</v>
      </c>
      <c r="O372" s="2485">
        <v>402.59899999999999</v>
      </c>
      <c r="P372" s="2486">
        <v>442.85899999999998</v>
      </c>
      <c r="Q372" s="2487">
        <v>0</v>
      </c>
      <c r="R372" s="2488">
        <v>0</v>
      </c>
      <c r="S372" s="1972"/>
      <c r="T372" s="1972"/>
      <c r="U372" s="1972"/>
      <c r="V372" s="2389">
        <v>1000</v>
      </c>
      <c r="W372" s="2389">
        <v>1000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39" hidden="1" x14ac:dyDescent="0.25">
      <c r="A373" s="91">
        <v>9</v>
      </c>
      <c r="B373" s="2033" t="s">
        <v>861</v>
      </c>
      <c r="C373" s="9"/>
      <c r="D373" s="9"/>
      <c r="E373" s="9"/>
      <c r="F373" s="2035" t="s">
        <v>468</v>
      </c>
      <c r="G373" s="2035" t="s">
        <v>106</v>
      </c>
      <c r="H373" s="2035"/>
      <c r="I373" s="9"/>
      <c r="J373" s="1061"/>
      <c r="K373" s="1064"/>
      <c r="L373" s="1064"/>
      <c r="M373" s="1563"/>
      <c r="N373" s="1982">
        <f>N379+N385</f>
        <v>0</v>
      </c>
      <c r="O373" s="1947"/>
      <c r="P373" s="1941"/>
      <c r="Q373" s="2036"/>
      <c r="R373" s="2037"/>
      <c r="V373" s="1982">
        <f>V379+V385</f>
        <v>0</v>
      </c>
      <c r="W373" s="1982">
        <f>W379+W385</f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13.5" hidden="1" x14ac:dyDescent="0.25">
      <c r="A374" s="32"/>
      <c r="B374" s="1109" t="s">
        <v>849</v>
      </c>
      <c r="C374" s="9"/>
      <c r="D374" s="9"/>
      <c r="E374" s="9"/>
      <c r="F374" s="2038" t="s">
        <v>854</v>
      </c>
      <c r="G374" s="2039"/>
      <c r="H374" s="2039"/>
      <c r="I374" s="9"/>
      <c r="J374" s="1061"/>
      <c r="K374" s="1064"/>
      <c r="L374" s="1064"/>
      <c r="M374" s="1563"/>
      <c r="N374" s="1986">
        <f t="shared" ref="N374:N427" si="208">N375</f>
        <v>0</v>
      </c>
      <c r="O374" s="1947"/>
      <c r="P374" s="1941"/>
      <c r="Q374" s="2040"/>
      <c r="R374" s="2041"/>
      <c r="V374" s="1986">
        <f t="shared" ref="V374:W427" si="209">V375</f>
        <v>0</v>
      </c>
      <c r="W374" s="1986">
        <f t="shared" si="209"/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6" hidden="1" x14ac:dyDescent="0.25">
      <c r="A375" s="32"/>
      <c r="B375" s="1092" t="s">
        <v>850</v>
      </c>
      <c r="C375" s="9"/>
      <c r="D375" s="9"/>
      <c r="E375" s="9"/>
      <c r="F375" s="2038" t="s">
        <v>855</v>
      </c>
      <c r="G375" s="2042"/>
      <c r="H375" s="2042"/>
      <c r="I375" s="9"/>
      <c r="J375" s="1061"/>
      <c r="K375" s="1064"/>
      <c r="L375" s="1064"/>
      <c r="M375" s="1563"/>
      <c r="N375" s="1986">
        <f t="shared" si="208"/>
        <v>0</v>
      </c>
      <c r="O375" s="1947"/>
      <c r="P375" s="1941"/>
      <c r="Q375" s="2040"/>
      <c r="R375" s="2041"/>
      <c r="V375" s="1986">
        <f t="shared" si="209"/>
        <v>0</v>
      </c>
      <c r="W375" s="1986">
        <f t="shared" si="209"/>
        <v>0</v>
      </c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41.5" hidden="1" customHeight="1" x14ac:dyDescent="0.25">
      <c r="A376" s="32"/>
      <c r="B376" s="1110" t="s">
        <v>851</v>
      </c>
      <c r="C376" s="9"/>
      <c r="D376" s="9"/>
      <c r="E376" s="9"/>
      <c r="F376" s="2038" t="s">
        <v>856</v>
      </c>
      <c r="G376" s="2043"/>
      <c r="H376" s="2043"/>
      <c r="I376" s="9"/>
      <c r="J376" s="1061"/>
      <c r="K376" s="1064"/>
      <c r="L376" s="1064"/>
      <c r="M376" s="1563"/>
      <c r="N376" s="1986">
        <f t="shared" si="208"/>
        <v>0</v>
      </c>
      <c r="O376" s="1947"/>
      <c r="P376" s="1941"/>
      <c r="Q376" s="2040"/>
      <c r="R376" s="2041"/>
      <c r="V376" s="1986">
        <f t="shared" si="209"/>
        <v>0</v>
      </c>
      <c r="W376" s="1986">
        <f t="shared" si="209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hidden="1" x14ac:dyDescent="0.25">
      <c r="A377" s="32"/>
      <c r="B377" s="1203" t="s">
        <v>852</v>
      </c>
      <c r="C377" s="9"/>
      <c r="D377" s="9"/>
      <c r="E377" s="9"/>
      <c r="F377" s="2043" t="s">
        <v>856</v>
      </c>
      <c r="G377" s="2044" t="s">
        <v>860</v>
      </c>
      <c r="H377" s="2044"/>
      <c r="I377" s="9"/>
      <c r="J377" s="1061"/>
      <c r="K377" s="1064"/>
      <c r="L377" s="1064"/>
      <c r="M377" s="1563"/>
      <c r="N377" s="1986">
        <f t="shared" si="208"/>
        <v>0</v>
      </c>
      <c r="O377" s="1947"/>
      <c r="P377" s="1941"/>
      <c r="Q377" s="2040"/>
      <c r="R377" s="2041"/>
      <c r="V377" s="1986">
        <f t="shared" si="209"/>
        <v>0</v>
      </c>
      <c r="W377" s="1986">
        <f t="shared" si="209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13" hidden="1" x14ac:dyDescent="0.25">
      <c r="A378" s="32"/>
      <c r="B378" s="1203" t="s">
        <v>80</v>
      </c>
      <c r="C378" s="9"/>
      <c r="D378" s="9"/>
      <c r="E378" s="9"/>
      <c r="F378" s="2043" t="s">
        <v>856</v>
      </c>
      <c r="G378" s="2044" t="s">
        <v>77</v>
      </c>
      <c r="H378" s="2044"/>
      <c r="I378" s="9"/>
      <c r="J378" s="1061"/>
      <c r="K378" s="1064"/>
      <c r="L378" s="1064"/>
      <c r="M378" s="1563"/>
      <c r="N378" s="1986">
        <f t="shared" si="208"/>
        <v>0</v>
      </c>
      <c r="O378" s="1947"/>
      <c r="P378" s="1941"/>
      <c r="Q378" s="2040"/>
      <c r="R378" s="2041"/>
      <c r="V378" s="1986">
        <f t="shared" si="209"/>
        <v>0</v>
      </c>
      <c r="W378" s="1986">
        <f t="shared" si="209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13" hidden="1" x14ac:dyDescent="0.25">
      <c r="A379" s="32"/>
      <c r="B379" s="1184" t="s">
        <v>45</v>
      </c>
      <c r="C379" s="9"/>
      <c r="D379" s="9"/>
      <c r="E379" s="9"/>
      <c r="F379" s="2043" t="s">
        <v>856</v>
      </c>
      <c r="G379" s="2044" t="s">
        <v>77</v>
      </c>
      <c r="H379" s="2044" t="s">
        <v>496</v>
      </c>
      <c r="I379" s="9" t="s">
        <v>495</v>
      </c>
      <c r="J379" s="1061"/>
      <c r="K379" s="1064"/>
      <c r="L379" s="1064"/>
      <c r="M379" s="1563"/>
      <c r="N379" s="1986"/>
      <c r="O379" s="1947"/>
      <c r="P379" s="1941"/>
      <c r="Q379" s="2040"/>
      <c r="R379" s="2041"/>
      <c r="V379" s="1986"/>
      <c r="W379" s="1986"/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40.5" hidden="1" x14ac:dyDescent="0.25">
      <c r="A380" s="32"/>
      <c r="B380" s="1109" t="s">
        <v>853</v>
      </c>
      <c r="C380" s="9"/>
      <c r="D380" s="9"/>
      <c r="E380" s="9"/>
      <c r="F380" s="2038" t="s">
        <v>857</v>
      </c>
      <c r="G380" s="2039"/>
      <c r="H380" s="2039"/>
      <c r="I380" s="9"/>
      <c r="J380" s="1061"/>
      <c r="K380" s="1064"/>
      <c r="L380" s="1064"/>
      <c r="M380" s="1563"/>
      <c r="N380" s="1986">
        <f t="shared" si="208"/>
        <v>0</v>
      </c>
      <c r="O380" s="1947"/>
      <c r="P380" s="1941"/>
      <c r="Q380" s="2040"/>
      <c r="R380" s="2041"/>
      <c r="V380" s="1986">
        <f t="shared" si="209"/>
        <v>0</v>
      </c>
      <c r="W380" s="1986">
        <f t="shared" si="209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26" hidden="1" x14ac:dyDescent="0.25">
      <c r="A381" s="32"/>
      <c r="B381" s="1092" t="s">
        <v>850</v>
      </c>
      <c r="C381" s="9"/>
      <c r="D381" s="9"/>
      <c r="E381" s="9"/>
      <c r="F381" s="2038" t="s">
        <v>858</v>
      </c>
      <c r="G381" s="2042"/>
      <c r="H381" s="2042"/>
      <c r="I381" s="9"/>
      <c r="J381" s="1061"/>
      <c r="K381" s="1064"/>
      <c r="L381" s="1064"/>
      <c r="M381" s="1563"/>
      <c r="N381" s="1986">
        <f t="shared" si="208"/>
        <v>0</v>
      </c>
      <c r="O381" s="1947"/>
      <c r="P381" s="1941"/>
      <c r="Q381" s="2040"/>
      <c r="R381" s="2041"/>
      <c r="V381" s="1986">
        <f t="shared" si="209"/>
        <v>0</v>
      </c>
      <c r="W381" s="1986">
        <f t="shared" si="209"/>
        <v>0</v>
      </c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hidden="1" x14ac:dyDescent="0.25">
      <c r="A382" s="32"/>
      <c r="B382" s="1110" t="s">
        <v>851</v>
      </c>
      <c r="C382" s="9"/>
      <c r="D382" s="9"/>
      <c r="E382" s="9"/>
      <c r="F382" s="2038" t="s">
        <v>859</v>
      </c>
      <c r="G382" s="2043"/>
      <c r="H382" s="2043"/>
      <c r="I382" s="9"/>
      <c r="J382" s="1061"/>
      <c r="K382" s="1064"/>
      <c r="L382" s="1064"/>
      <c r="M382" s="1563"/>
      <c r="N382" s="1986">
        <f t="shared" si="208"/>
        <v>0</v>
      </c>
      <c r="O382" s="1947"/>
      <c r="P382" s="1941"/>
      <c r="Q382" s="2040"/>
      <c r="R382" s="2041"/>
      <c r="V382" s="1986">
        <f t="shared" si="209"/>
        <v>0</v>
      </c>
      <c r="W382" s="1986">
        <f t="shared" si="209"/>
        <v>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13" hidden="1" x14ac:dyDescent="0.25">
      <c r="A383" s="32"/>
      <c r="B383" s="1203" t="s">
        <v>852</v>
      </c>
      <c r="C383" s="9"/>
      <c r="D383" s="9"/>
      <c r="E383" s="9"/>
      <c r="F383" s="2038" t="s">
        <v>859</v>
      </c>
      <c r="G383" s="2044" t="s">
        <v>860</v>
      </c>
      <c r="H383" s="2044"/>
      <c r="I383" s="9"/>
      <c r="J383" s="1061"/>
      <c r="K383" s="1064"/>
      <c r="L383" s="1064"/>
      <c r="M383" s="1563"/>
      <c r="N383" s="1986">
        <f t="shared" si="208"/>
        <v>0</v>
      </c>
      <c r="O383" s="1947"/>
      <c r="P383" s="1941"/>
      <c r="Q383" s="2040"/>
      <c r="R383" s="2041"/>
      <c r="V383" s="1986">
        <f t="shared" si="209"/>
        <v>0</v>
      </c>
      <c r="W383" s="1986">
        <f t="shared" si="209"/>
        <v>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13" hidden="1" x14ac:dyDescent="0.25">
      <c r="A384" s="32"/>
      <c r="B384" s="1203" t="s">
        <v>80</v>
      </c>
      <c r="C384" s="9"/>
      <c r="D384" s="9"/>
      <c r="E384" s="9"/>
      <c r="F384" s="2043" t="s">
        <v>859</v>
      </c>
      <c r="G384" s="2044" t="s">
        <v>77</v>
      </c>
      <c r="H384" s="2044"/>
      <c r="I384" s="9"/>
      <c r="J384" s="1061"/>
      <c r="K384" s="1064"/>
      <c r="L384" s="1064"/>
      <c r="M384" s="1563"/>
      <c r="N384" s="1986">
        <f>N385</f>
        <v>0</v>
      </c>
      <c r="O384" s="1947"/>
      <c r="P384" s="1941"/>
      <c r="Q384" s="2040"/>
      <c r="R384" s="2041"/>
      <c r="V384" s="1986">
        <f>V385</f>
        <v>0</v>
      </c>
      <c r="W384" s="1986">
        <f>W385</f>
        <v>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13" hidden="1" x14ac:dyDescent="0.25">
      <c r="A385" s="32"/>
      <c r="B385" s="1184" t="s">
        <v>45</v>
      </c>
      <c r="C385" s="1508"/>
      <c r="D385" s="1508"/>
      <c r="E385" s="1508"/>
      <c r="F385" s="2045" t="s">
        <v>859</v>
      </c>
      <c r="G385" s="2046" t="s">
        <v>77</v>
      </c>
      <c r="H385" s="2046" t="s">
        <v>496</v>
      </c>
      <c r="I385" s="1508" t="s">
        <v>495</v>
      </c>
      <c r="J385" s="1061"/>
      <c r="K385" s="1064"/>
      <c r="L385" s="1064"/>
      <c r="M385" s="1563"/>
      <c r="N385" s="1986"/>
      <c r="O385" s="1947"/>
      <c r="P385" s="1941"/>
      <c r="Q385" s="2040"/>
      <c r="R385" s="2041"/>
      <c r="V385" s="1986"/>
      <c r="W385" s="1986"/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52" hidden="1" x14ac:dyDescent="0.25">
      <c r="A386" s="1504">
        <v>10</v>
      </c>
      <c r="B386" s="2047" t="s">
        <v>1013</v>
      </c>
      <c r="C386" s="1508"/>
      <c r="D386" s="1508"/>
      <c r="E386" s="1508"/>
      <c r="F386" s="2048" t="s">
        <v>1014</v>
      </c>
      <c r="G386" s="2046"/>
      <c r="H386" s="2046"/>
      <c r="I386" s="1508"/>
      <c r="J386" s="1087"/>
      <c r="K386" s="1064"/>
      <c r="L386" s="1064"/>
      <c r="M386" s="1563"/>
      <c r="N386" s="1982">
        <f>N387</f>
        <v>0</v>
      </c>
      <c r="O386" s="1947"/>
      <c r="P386" s="1941"/>
      <c r="Q386" s="2040"/>
      <c r="R386" s="2041"/>
      <c r="V386" s="1982">
        <f t="shared" ref="V386:W390" si="210">V387</f>
        <v>0</v>
      </c>
      <c r="W386" s="1982">
        <f t="shared" si="210"/>
        <v>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25">
      <c r="A387" s="1505"/>
      <c r="B387" s="2049" t="s">
        <v>1015</v>
      </c>
      <c r="C387" s="1508"/>
      <c r="D387" s="1508"/>
      <c r="E387" s="1508"/>
      <c r="F387" s="2045" t="s">
        <v>1016</v>
      </c>
      <c r="G387" s="2046"/>
      <c r="H387" s="2046"/>
      <c r="I387" s="1508"/>
      <c r="J387" s="1087"/>
      <c r="K387" s="1064"/>
      <c r="L387" s="1064"/>
      <c r="M387" s="1563"/>
      <c r="N387" s="1986">
        <f>N388</f>
        <v>0</v>
      </c>
      <c r="O387" s="1947"/>
      <c r="P387" s="1941"/>
      <c r="Q387" s="2040"/>
      <c r="R387" s="2041"/>
      <c r="V387" s="1986">
        <f t="shared" si="210"/>
        <v>0</v>
      </c>
      <c r="W387" s="1986">
        <f t="shared" si="210"/>
        <v>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34.5" hidden="1" x14ac:dyDescent="0.25">
      <c r="A388" s="1505"/>
      <c r="B388" s="2050" t="s">
        <v>1017</v>
      </c>
      <c r="C388" s="1508"/>
      <c r="D388" s="1508"/>
      <c r="E388" s="1508"/>
      <c r="F388" s="2045" t="s">
        <v>1041</v>
      </c>
      <c r="G388" s="2046"/>
      <c r="H388" s="2046"/>
      <c r="I388" s="1508"/>
      <c r="J388" s="1087"/>
      <c r="K388" s="1064"/>
      <c r="L388" s="1064"/>
      <c r="M388" s="1563"/>
      <c r="N388" s="1986">
        <f>N389</f>
        <v>0</v>
      </c>
      <c r="O388" s="1947"/>
      <c r="P388" s="1941"/>
      <c r="Q388" s="2040"/>
      <c r="R388" s="2041"/>
      <c r="V388" s="1986">
        <f t="shared" si="210"/>
        <v>0</v>
      </c>
      <c r="W388" s="1986">
        <f t="shared" si="210"/>
        <v>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3" hidden="1" x14ac:dyDescent="0.25">
      <c r="A389" s="1505"/>
      <c r="B389" s="1515" t="s">
        <v>948</v>
      </c>
      <c r="C389" s="1508"/>
      <c r="D389" s="1508"/>
      <c r="E389" s="1508"/>
      <c r="F389" s="2045" t="s">
        <v>1041</v>
      </c>
      <c r="G389" s="2046" t="s">
        <v>955</v>
      </c>
      <c r="H389" s="2046"/>
      <c r="I389" s="1508"/>
      <c r="J389" s="1087"/>
      <c r="K389" s="1064"/>
      <c r="L389" s="1064"/>
      <c r="M389" s="1563"/>
      <c r="N389" s="1986">
        <f>N390</f>
        <v>0</v>
      </c>
      <c r="O389" s="1947"/>
      <c r="P389" s="1941"/>
      <c r="Q389" s="2040"/>
      <c r="R389" s="2041"/>
      <c r="V389" s="1986">
        <f t="shared" si="210"/>
        <v>0</v>
      </c>
      <c r="W389" s="1986">
        <f t="shared" si="210"/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3" hidden="1" x14ac:dyDescent="0.25">
      <c r="A390" s="1505"/>
      <c r="B390" s="1516" t="s">
        <v>454</v>
      </c>
      <c r="C390" s="1508"/>
      <c r="D390" s="1508"/>
      <c r="E390" s="1508"/>
      <c r="F390" s="2045" t="s">
        <v>1041</v>
      </c>
      <c r="G390" s="2046" t="s">
        <v>1</v>
      </c>
      <c r="H390" s="2046"/>
      <c r="I390" s="1508"/>
      <c r="J390" s="1087"/>
      <c r="K390" s="1064"/>
      <c r="L390" s="1064"/>
      <c r="M390" s="1563"/>
      <c r="N390" s="1986">
        <f>N391</f>
        <v>0</v>
      </c>
      <c r="O390" s="1947"/>
      <c r="P390" s="1941"/>
      <c r="Q390" s="2040"/>
      <c r="R390" s="2041"/>
      <c r="V390" s="1986">
        <f t="shared" si="210"/>
        <v>0</v>
      </c>
      <c r="W390" s="1986">
        <f t="shared" si="210"/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1505"/>
      <c r="B391" s="2051" t="s">
        <v>34</v>
      </c>
      <c r="C391" s="1508"/>
      <c r="D391" s="1508"/>
      <c r="E391" s="1508"/>
      <c r="F391" s="2045" t="s">
        <v>1041</v>
      </c>
      <c r="G391" s="2046" t="s">
        <v>1</v>
      </c>
      <c r="H391" s="2046" t="s">
        <v>463</v>
      </c>
      <c r="I391" s="1508" t="s">
        <v>495</v>
      </c>
      <c r="J391" s="1087"/>
      <c r="K391" s="1064"/>
      <c r="L391" s="1064"/>
      <c r="M391" s="1563"/>
      <c r="N391" s="1986"/>
      <c r="O391" s="1947"/>
      <c r="P391" s="1941"/>
      <c r="Q391" s="2040"/>
      <c r="R391" s="2041"/>
      <c r="V391" s="1986"/>
      <c r="W391" s="1986"/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" x14ac:dyDescent="0.25">
      <c r="A392" s="1505"/>
      <c r="B392" s="337" t="s">
        <v>1169</v>
      </c>
      <c r="C392" s="1508"/>
      <c r="D392" s="1508"/>
      <c r="E392" s="1508"/>
      <c r="F392" s="9" t="s">
        <v>1157</v>
      </c>
      <c r="G392" s="2046"/>
      <c r="H392" s="2046"/>
      <c r="I392" s="1508"/>
      <c r="J392" s="1087"/>
      <c r="K392" s="1064"/>
      <c r="L392" s="1064"/>
      <c r="M392" s="1563"/>
      <c r="N392" s="2567">
        <f>N396</f>
        <v>0</v>
      </c>
      <c r="O392" s="2568"/>
      <c r="P392" s="2569"/>
      <c r="Q392" s="2570"/>
      <c r="R392" s="2571"/>
      <c r="S392" s="2572"/>
      <c r="T392" s="2572"/>
      <c r="U392" s="2572"/>
      <c r="V392" s="2567">
        <f>V396</f>
        <v>0</v>
      </c>
      <c r="W392" s="2567">
        <f>W396</f>
        <v>328.23200000000003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6" x14ac:dyDescent="0.25">
      <c r="A393" s="1505"/>
      <c r="B393" s="2153" t="s">
        <v>1160</v>
      </c>
      <c r="C393" s="1508"/>
      <c r="D393" s="1508"/>
      <c r="E393" s="1508"/>
      <c r="F393" s="9" t="s">
        <v>1158</v>
      </c>
      <c r="G393" s="2046"/>
      <c r="H393" s="2046"/>
      <c r="I393" s="1508"/>
      <c r="J393" s="1087"/>
      <c r="K393" s="1064"/>
      <c r="L393" s="1064"/>
      <c r="M393" s="1563"/>
      <c r="N393" s="2567">
        <f>N394</f>
        <v>0</v>
      </c>
      <c r="O393" s="2568"/>
      <c r="P393" s="2569"/>
      <c r="Q393" s="2570"/>
      <c r="R393" s="2571"/>
      <c r="S393" s="2572"/>
      <c r="T393" s="2572"/>
      <c r="U393" s="2572"/>
      <c r="V393" s="2567">
        <f t="shared" ref="V393:W395" si="211">V394</f>
        <v>0</v>
      </c>
      <c r="W393" s="2567">
        <f t="shared" si="211"/>
        <v>328.23200000000003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x14ac:dyDescent="0.25">
      <c r="A394" s="1505"/>
      <c r="B394" s="49" t="s">
        <v>1065</v>
      </c>
      <c r="C394" s="1508"/>
      <c r="D394" s="1508"/>
      <c r="E394" s="1508"/>
      <c r="F394" s="9" t="s">
        <v>1158</v>
      </c>
      <c r="G394" s="2045" t="s">
        <v>1064</v>
      </c>
      <c r="H394" s="2045"/>
      <c r="I394" s="1508"/>
      <c r="J394" s="1087"/>
      <c r="K394" s="1064"/>
      <c r="L394" s="1064"/>
      <c r="M394" s="1563"/>
      <c r="N394" s="2567">
        <f>N395</f>
        <v>0</v>
      </c>
      <c r="O394" s="2568"/>
      <c r="P394" s="2569"/>
      <c r="Q394" s="2570"/>
      <c r="R394" s="2571"/>
      <c r="S394" s="2572"/>
      <c r="T394" s="2572"/>
      <c r="U394" s="2572"/>
      <c r="V394" s="2567">
        <f t="shared" si="211"/>
        <v>0</v>
      </c>
      <c r="W394" s="2567">
        <f t="shared" si="211"/>
        <v>328.23200000000003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6" x14ac:dyDescent="0.25">
      <c r="A395" s="1505"/>
      <c r="B395" s="1544" t="s">
        <v>523</v>
      </c>
      <c r="C395" s="1508"/>
      <c r="D395" s="1508"/>
      <c r="E395" s="1508"/>
      <c r="F395" s="9" t="s">
        <v>1158</v>
      </c>
      <c r="G395" s="2045" t="s">
        <v>521</v>
      </c>
      <c r="H395" s="2045"/>
      <c r="I395" s="1508"/>
      <c r="J395" s="1087"/>
      <c r="K395" s="1064"/>
      <c r="L395" s="1064"/>
      <c r="M395" s="1563"/>
      <c r="N395" s="2567">
        <f>N396</f>
        <v>0</v>
      </c>
      <c r="O395" s="2568"/>
      <c r="P395" s="2569"/>
      <c r="Q395" s="2570"/>
      <c r="R395" s="2571"/>
      <c r="S395" s="2572"/>
      <c r="T395" s="2572"/>
      <c r="U395" s="2572"/>
      <c r="V395" s="2567">
        <f t="shared" si="211"/>
        <v>0</v>
      </c>
      <c r="W395" s="2567">
        <f t="shared" si="211"/>
        <v>328.23200000000003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18.649999999999999" customHeight="1" x14ac:dyDescent="0.3">
      <c r="A396" s="1505"/>
      <c r="B396" s="744" t="s">
        <v>39</v>
      </c>
      <c r="C396" s="1508"/>
      <c r="D396" s="1508"/>
      <c r="E396" s="1508"/>
      <c r="F396" s="9" t="s">
        <v>1158</v>
      </c>
      <c r="G396" s="2045" t="s">
        <v>521</v>
      </c>
      <c r="H396" s="2045" t="s">
        <v>463</v>
      </c>
      <c r="I396" s="1508" t="s">
        <v>488</v>
      </c>
      <c r="J396" s="1087"/>
      <c r="K396" s="1064"/>
      <c r="L396" s="1064"/>
      <c r="M396" s="1563"/>
      <c r="N396" s="2567">
        <v>0</v>
      </c>
      <c r="O396" s="2568"/>
      <c r="P396" s="2569"/>
      <c r="Q396" s="2570"/>
      <c r="R396" s="2571"/>
      <c r="S396" s="2572"/>
      <c r="T396" s="2572"/>
      <c r="U396" s="2572"/>
      <c r="V396" s="2567">
        <v>0</v>
      </c>
      <c r="W396" s="2567">
        <v>328.23200000000003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44.5" customHeight="1" x14ac:dyDescent="0.25">
      <c r="A397" s="91">
        <v>9</v>
      </c>
      <c r="B397" s="135" t="s">
        <v>1059</v>
      </c>
      <c r="C397" s="1508"/>
      <c r="D397" s="1508"/>
      <c r="E397" s="1508"/>
      <c r="F397" s="2231" t="s">
        <v>468</v>
      </c>
      <c r="G397" s="2046"/>
      <c r="H397" s="2046"/>
      <c r="I397" s="1508"/>
      <c r="J397" s="1087"/>
      <c r="K397" s="1064"/>
      <c r="L397" s="1064"/>
      <c r="M397" s="1563"/>
      <c r="N397" s="2567">
        <f>N398</f>
        <v>2354.1120000000001</v>
      </c>
      <c r="O397" s="2573"/>
      <c r="P397" s="2574"/>
      <c r="Q397" s="2575"/>
      <c r="R397" s="2576"/>
      <c r="S397" s="2577"/>
      <c r="T397" s="2577"/>
      <c r="U397" s="2577"/>
      <c r="V397" s="2567">
        <f t="shared" ref="V397:W399" si="212">V398</f>
        <v>500</v>
      </c>
      <c r="W397" s="2567">
        <f t="shared" si="212"/>
        <v>500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6.65" customHeight="1" x14ac:dyDescent="0.3">
      <c r="A398" s="1505"/>
      <c r="B398" s="2012" t="s">
        <v>1053</v>
      </c>
      <c r="C398" s="1508"/>
      <c r="D398" s="1508"/>
      <c r="E398" s="1508"/>
      <c r="F398" s="937" t="s">
        <v>857</v>
      </c>
      <c r="G398" s="2046"/>
      <c r="H398" s="2046"/>
      <c r="I398" s="1508"/>
      <c r="J398" s="1087"/>
      <c r="K398" s="1064"/>
      <c r="L398" s="1064"/>
      <c r="M398" s="1563"/>
      <c r="N398" s="2567">
        <f>N399</f>
        <v>2354.1120000000001</v>
      </c>
      <c r="O398" s="2573"/>
      <c r="P398" s="2574"/>
      <c r="Q398" s="2575"/>
      <c r="R398" s="2576"/>
      <c r="S398" s="2577"/>
      <c r="T398" s="2577"/>
      <c r="U398" s="2577"/>
      <c r="V398" s="2567">
        <f t="shared" si="212"/>
        <v>500</v>
      </c>
      <c r="W398" s="2567">
        <f t="shared" si="212"/>
        <v>500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31" x14ac:dyDescent="0.25">
      <c r="A399" s="1505"/>
      <c r="B399" s="2232" t="s">
        <v>467</v>
      </c>
      <c r="C399" s="2233" t="s">
        <v>858</v>
      </c>
      <c r="D399" s="1508"/>
      <c r="E399" s="1508"/>
      <c r="F399" s="2234" t="s">
        <v>858</v>
      </c>
      <c r="G399" s="937"/>
      <c r="H399" s="937"/>
      <c r="I399" s="937"/>
      <c r="J399" s="1087"/>
      <c r="K399" s="1064"/>
      <c r="L399" s="1064"/>
      <c r="M399" s="1563"/>
      <c r="N399" s="2567">
        <f>N400</f>
        <v>2354.1120000000001</v>
      </c>
      <c r="O399" s="2573"/>
      <c r="P399" s="2574"/>
      <c r="Q399" s="2575"/>
      <c r="R399" s="2576"/>
      <c r="S399" s="2577"/>
      <c r="T399" s="2577"/>
      <c r="U399" s="2577"/>
      <c r="V399" s="2567">
        <f t="shared" si="212"/>
        <v>500</v>
      </c>
      <c r="W399" s="2567">
        <f t="shared" si="212"/>
        <v>500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31" x14ac:dyDescent="0.25">
      <c r="A400" s="1505"/>
      <c r="B400" s="2232" t="s">
        <v>1054</v>
      </c>
      <c r="C400" s="2235" t="s">
        <v>1055</v>
      </c>
      <c r="D400" s="1508"/>
      <c r="E400" s="1508"/>
      <c r="F400" s="937" t="s">
        <v>1055</v>
      </c>
      <c r="G400" s="937"/>
      <c r="H400" s="937"/>
      <c r="I400" s="937"/>
      <c r="J400" s="1087"/>
      <c r="K400" s="1064"/>
      <c r="L400" s="1064"/>
      <c r="M400" s="1563"/>
      <c r="N400" s="2567">
        <f>N403</f>
        <v>2354.1120000000001</v>
      </c>
      <c r="O400" s="2573"/>
      <c r="P400" s="2574"/>
      <c r="Q400" s="2575"/>
      <c r="R400" s="2576"/>
      <c r="S400" s="2577"/>
      <c r="T400" s="2577"/>
      <c r="U400" s="2577"/>
      <c r="V400" s="2567">
        <f>V403</f>
        <v>500</v>
      </c>
      <c r="W400" s="2567">
        <f>W403</f>
        <v>500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31" hidden="1" x14ac:dyDescent="0.25">
      <c r="A401" s="1505"/>
      <c r="B401" s="2236" t="s">
        <v>1048</v>
      </c>
      <c r="C401" s="2235" t="s">
        <v>1055</v>
      </c>
      <c r="D401" s="1508"/>
      <c r="E401" s="1508"/>
      <c r="F401" s="937" t="s">
        <v>1055</v>
      </c>
      <c r="G401" s="937" t="s">
        <v>955</v>
      </c>
      <c r="H401" s="932"/>
      <c r="I401" s="932"/>
      <c r="J401" s="1087"/>
      <c r="K401" s="1064"/>
      <c r="L401" s="1064"/>
      <c r="M401" s="1563"/>
      <c r="N401" s="2567"/>
      <c r="O401" s="2573"/>
      <c r="P401" s="2574"/>
      <c r="Q401" s="2575"/>
      <c r="R401" s="2576"/>
      <c r="S401" s="2577"/>
      <c r="T401" s="2577"/>
      <c r="U401" s="2577"/>
      <c r="V401" s="2567"/>
      <c r="W401" s="2567"/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6" x14ac:dyDescent="0.25">
      <c r="A402" s="1505"/>
      <c r="B402" s="49" t="s">
        <v>1048</v>
      </c>
      <c r="C402" s="2235"/>
      <c r="D402" s="1508"/>
      <c r="E402" s="1508"/>
      <c r="F402" s="937" t="s">
        <v>1055</v>
      </c>
      <c r="G402" s="937" t="s">
        <v>955</v>
      </c>
      <c r="H402" s="932"/>
      <c r="I402" s="932"/>
      <c r="J402" s="1087"/>
      <c r="K402" s="1064"/>
      <c r="L402" s="1064"/>
      <c r="M402" s="1563"/>
      <c r="N402" s="2567">
        <f>N403</f>
        <v>2354.1120000000001</v>
      </c>
      <c r="O402" s="2573"/>
      <c r="P402" s="2574"/>
      <c r="Q402" s="2575"/>
      <c r="R402" s="2576"/>
      <c r="S402" s="2577"/>
      <c r="T402" s="2577"/>
      <c r="U402" s="2577"/>
      <c r="V402" s="2567">
        <f t="shared" ref="V402:W402" si="213">V403</f>
        <v>500</v>
      </c>
      <c r="W402" s="2567">
        <f t="shared" si="213"/>
        <v>500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25.5" customHeight="1" x14ac:dyDescent="0.25">
      <c r="A403" s="1505"/>
      <c r="B403" s="1544" t="s">
        <v>454</v>
      </c>
      <c r="C403" s="2235" t="s">
        <v>1055</v>
      </c>
      <c r="D403" s="1508"/>
      <c r="E403" s="1508"/>
      <c r="F403" s="937" t="s">
        <v>1055</v>
      </c>
      <c r="G403" s="937" t="s">
        <v>1</v>
      </c>
      <c r="H403" s="937"/>
      <c r="I403" s="932"/>
      <c r="J403" s="1087"/>
      <c r="K403" s="1064"/>
      <c r="L403" s="1064"/>
      <c r="M403" s="1563"/>
      <c r="N403" s="2567">
        <f>N404</f>
        <v>2354.1120000000001</v>
      </c>
      <c r="O403" s="2573"/>
      <c r="P403" s="2574"/>
      <c r="Q403" s="2575"/>
      <c r="R403" s="2576"/>
      <c r="S403" s="2577"/>
      <c r="T403" s="2577"/>
      <c r="U403" s="2577"/>
      <c r="V403" s="2567">
        <f>V404</f>
        <v>500</v>
      </c>
      <c r="W403" s="2567">
        <f>W404</f>
        <v>500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16" customHeight="1" x14ac:dyDescent="0.3">
      <c r="A404" s="1505"/>
      <c r="B404" s="2012" t="s">
        <v>34</v>
      </c>
      <c r="C404" s="2235" t="s">
        <v>1055</v>
      </c>
      <c r="D404" s="1508"/>
      <c r="E404" s="1508"/>
      <c r="F404" s="937" t="s">
        <v>1055</v>
      </c>
      <c r="G404" s="937" t="s">
        <v>1</v>
      </c>
      <c r="H404" s="937" t="s">
        <v>463</v>
      </c>
      <c r="I404" s="937" t="s">
        <v>495</v>
      </c>
      <c r="J404" s="1087"/>
      <c r="K404" s="1064"/>
      <c r="L404" s="1064"/>
      <c r="M404" s="1563"/>
      <c r="N404" s="2567">
        <v>2354.1120000000001</v>
      </c>
      <c r="O404" s="2573"/>
      <c r="P404" s="2574"/>
      <c r="Q404" s="2575"/>
      <c r="R404" s="2576"/>
      <c r="S404" s="2577"/>
      <c r="T404" s="2577"/>
      <c r="U404" s="2577"/>
      <c r="V404" s="2567">
        <v>500</v>
      </c>
      <c r="W404" s="2567">
        <v>500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" x14ac:dyDescent="0.25">
      <c r="A405" s="1504">
        <v>10</v>
      </c>
      <c r="B405" s="2151" t="s">
        <v>1143</v>
      </c>
      <c r="C405" s="1508"/>
      <c r="D405" s="1508"/>
      <c r="E405" s="1508"/>
      <c r="F405" s="2048" t="s">
        <v>1139</v>
      </c>
      <c r="G405" s="2046"/>
      <c r="H405" s="2046"/>
      <c r="I405" s="1508"/>
      <c r="J405" s="1087"/>
      <c r="K405" s="1064"/>
      <c r="L405" s="1064"/>
      <c r="M405" s="1563"/>
      <c r="N405" s="2580">
        <f>N407</f>
        <v>0</v>
      </c>
      <c r="O405" s="2573"/>
      <c r="P405" s="2574"/>
      <c r="Q405" s="2578"/>
      <c r="R405" s="2579"/>
      <c r="S405" s="2577"/>
      <c r="T405" s="2577"/>
      <c r="U405" s="2577"/>
      <c r="V405" s="2580">
        <f>V407</f>
        <v>945.56500000000005</v>
      </c>
      <c r="W405" s="2580">
        <f>W407</f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39" hidden="1" x14ac:dyDescent="0.25">
      <c r="A406" s="1504"/>
      <c r="B406" s="2251" t="s">
        <v>1027</v>
      </c>
      <c r="C406" s="1508"/>
      <c r="D406" s="1508"/>
      <c r="E406" s="1508"/>
      <c r="F406" s="2045" t="s">
        <v>1028</v>
      </c>
      <c r="G406" s="2046"/>
      <c r="H406" s="2046"/>
      <c r="I406" s="1508"/>
      <c r="J406" s="1087"/>
      <c r="K406" s="1064"/>
      <c r="L406" s="1064"/>
      <c r="M406" s="1563"/>
      <c r="N406" s="2567">
        <f t="shared" ref="N406:N410" si="214">N407</f>
        <v>0</v>
      </c>
      <c r="O406" s="2573"/>
      <c r="P406" s="2574"/>
      <c r="Q406" s="2578"/>
      <c r="R406" s="2579"/>
      <c r="S406" s="2577"/>
      <c r="T406" s="2577"/>
      <c r="U406" s="2577"/>
      <c r="V406" s="2567">
        <f t="shared" ref="V406:W410" si="215">V407</f>
        <v>945.56500000000005</v>
      </c>
      <c r="W406" s="2567">
        <f t="shared" si="215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6" x14ac:dyDescent="0.25">
      <c r="A407" s="1505"/>
      <c r="B407" s="2067" t="s">
        <v>1145</v>
      </c>
      <c r="C407" s="1508"/>
      <c r="D407" s="1508"/>
      <c r="E407" s="1508"/>
      <c r="F407" s="2045" t="s">
        <v>1144</v>
      </c>
      <c r="G407" s="2046"/>
      <c r="H407" s="2046"/>
      <c r="I407" s="1508"/>
      <c r="J407" s="1087"/>
      <c r="K407" s="1064"/>
      <c r="L407" s="1064"/>
      <c r="M407" s="1563"/>
      <c r="N407" s="2567">
        <f t="shared" si="214"/>
        <v>0</v>
      </c>
      <c r="O407" s="2573"/>
      <c r="P407" s="2574"/>
      <c r="Q407" s="2578"/>
      <c r="R407" s="2579"/>
      <c r="S407" s="2577"/>
      <c r="T407" s="2577"/>
      <c r="U407" s="2577"/>
      <c r="V407" s="2567">
        <f t="shared" si="215"/>
        <v>945.56500000000005</v>
      </c>
      <c r="W407" s="2567">
        <f t="shared" si="215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39" x14ac:dyDescent="0.25">
      <c r="A408" s="1505"/>
      <c r="B408" s="2067" t="s">
        <v>1146</v>
      </c>
      <c r="C408" s="1508"/>
      <c r="D408" s="1508"/>
      <c r="E408" s="1508"/>
      <c r="F408" s="532" t="s">
        <v>1142</v>
      </c>
      <c r="G408" s="2046"/>
      <c r="H408" s="2046"/>
      <c r="I408" s="1508"/>
      <c r="J408" s="1087"/>
      <c r="K408" s="1064"/>
      <c r="L408" s="1064"/>
      <c r="M408" s="1563"/>
      <c r="N408" s="2567">
        <f t="shared" si="214"/>
        <v>0</v>
      </c>
      <c r="O408" s="2573"/>
      <c r="P408" s="2574"/>
      <c r="Q408" s="2578"/>
      <c r="R408" s="2579"/>
      <c r="S408" s="2577"/>
      <c r="T408" s="2577"/>
      <c r="U408" s="2577"/>
      <c r="V408" s="2567">
        <f t="shared" si="215"/>
        <v>945.56500000000005</v>
      </c>
      <c r="W408" s="2567">
        <f t="shared" si="215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26" x14ac:dyDescent="0.25">
      <c r="A409" s="1505"/>
      <c r="B409" s="724" t="s">
        <v>948</v>
      </c>
      <c r="C409" s="1508"/>
      <c r="D409" s="1508"/>
      <c r="E409" s="1508"/>
      <c r="F409" s="532" t="s">
        <v>1142</v>
      </c>
      <c r="G409" s="2045" t="s">
        <v>955</v>
      </c>
      <c r="H409" s="2045"/>
      <c r="I409" s="1508"/>
      <c r="J409" s="1087"/>
      <c r="K409" s="1064"/>
      <c r="L409" s="1064"/>
      <c r="M409" s="1563"/>
      <c r="N409" s="2567">
        <f t="shared" si="214"/>
        <v>0</v>
      </c>
      <c r="O409" s="2573"/>
      <c r="P409" s="2574"/>
      <c r="Q409" s="2578"/>
      <c r="R409" s="2579"/>
      <c r="S409" s="2577"/>
      <c r="T409" s="2577"/>
      <c r="U409" s="2577"/>
      <c r="V409" s="2567">
        <f t="shared" si="215"/>
        <v>945.56500000000005</v>
      </c>
      <c r="W409" s="2567">
        <f t="shared" si="215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26" x14ac:dyDescent="0.25">
      <c r="A410" s="1505"/>
      <c r="B410" s="1544" t="s">
        <v>454</v>
      </c>
      <c r="C410" s="1508"/>
      <c r="D410" s="1508"/>
      <c r="E410" s="1508"/>
      <c r="F410" s="532" t="s">
        <v>1142</v>
      </c>
      <c r="G410" s="2045" t="s">
        <v>1</v>
      </c>
      <c r="H410" s="2045"/>
      <c r="I410" s="1508"/>
      <c r="J410" s="1087"/>
      <c r="K410" s="1064"/>
      <c r="L410" s="1064"/>
      <c r="M410" s="1563"/>
      <c r="N410" s="2567">
        <f t="shared" si="214"/>
        <v>0</v>
      </c>
      <c r="O410" s="2573"/>
      <c r="P410" s="2574"/>
      <c r="Q410" s="2578"/>
      <c r="R410" s="2579"/>
      <c r="S410" s="2577"/>
      <c r="T410" s="2577"/>
      <c r="U410" s="2577"/>
      <c r="V410" s="2567">
        <f>V411</f>
        <v>945.56500000000005</v>
      </c>
      <c r="W410" s="2567">
        <f t="shared" si="215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3">
      <c r="A411" s="1505"/>
      <c r="B411" s="744" t="s">
        <v>34</v>
      </c>
      <c r="C411" s="1508"/>
      <c r="D411" s="1508"/>
      <c r="E411" s="1508"/>
      <c r="F411" s="532" t="s">
        <v>1142</v>
      </c>
      <c r="G411" s="2045" t="s">
        <v>1</v>
      </c>
      <c r="H411" s="2045" t="s">
        <v>463</v>
      </c>
      <c r="I411" s="1508" t="s">
        <v>495</v>
      </c>
      <c r="J411" s="1087"/>
      <c r="K411" s="1064"/>
      <c r="L411" s="1064"/>
      <c r="M411" s="1563"/>
      <c r="N411" s="2567">
        <f>4129.999-1.562-777.778-362.241-1200-1788.418</f>
        <v>0</v>
      </c>
      <c r="O411" s="2573"/>
      <c r="P411" s="2574"/>
      <c r="Q411" s="2578"/>
      <c r="R411" s="2579"/>
      <c r="S411" s="2577"/>
      <c r="T411" s="2577"/>
      <c r="U411" s="2577"/>
      <c r="V411" s="2567">
        <v>945.56500000000005</v>
      </c>
      <c r="W411" s="2567"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91">
        <v>11</v>
      </c>
      <c r="B412" s="2150" t="s">
        <v>1049</v>
      </c>
      <c r="C412" s="1508"/>
      <c r="D412" s="1508"/>
      <c r="E412" s="1508"/>
      <c r="F412" s="2231" t="s">
        <v>1045</v>
      </c>
      <c r="G412" s="2046"/>
      <c r="H412" s="2046"/>
      <c r="I412" s="1508"/>
      <c r="J412" s="1087"/>
      <c r="K412" s="1064"/>
      <c r="L412" s="1064"/>
      <c r="M412" s="1563"/>
      <c r="N412" s="2520">
        <f>N413</f>
        <v>1444.778</v>
      </c>
      <c r="O412" s="2541"/>
      <c r="P412" s="2542"/>
      <c r="Q412" s="2581"/>
      <c r="R412" s="2582"/>
      <c r="S412" s="2514"/>
      <c r="T412" s="2514"/>
      <c r="U412" s="2514"/>
      <c r="V412" s="2520">
        <f t="shared" ref="V412:W416" si="216">V413</f>
        <v>1170.1120000000001</v>
      </c>
      <c r="W412" s="2520">
        <f t="shared" si="216"/>
        <v>874.66700000000003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x14ac:dyDescent="0.3">
      <c r="A413" s="1505"/>
      <c r="B413" s="2012" t="s">
        <v>1050</v>
      </c>
      <c r="C413" s="1508"/>
      <c r="D413" s="1508"/>
      <c r="E413" s="1508"/>
      <c r="F413" s="937" t="s">
        <v>1046</v>
      </c>
      <c r="G413" s="2046"/>
      <c r="H413" s="2046"/>
      <c r="I413" s="1508"/>
      <c r="J413" s="1087"/>
      <c r="K413" s="1064"/>
      <c r="L413" s="1064"/>
      <c r="M413" s="1563"/>
      <c r="N413" s="2520">
        <f>N414</f>
        <v>1444.778</v>
      </c>
      <c r="O413" s="2541"/>
      <c r="P413" s="2542"/>
      <c r="Q413" s="2581"/>
      <c r="R413" s="2582"/>
      <c r="S413" s="2514"/>
      <c r="T413" s="2514"/>
      <c r="U413" s="2514"/>
      <c r="V413" s="2520">
        <f t="shared" si="216"/>
        <v>1170.1120000000001</v>
      </c>
      <c r="W413" s="2520">
        <f t="shared" si="216"/>
        <v>874.66700000000003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x14ac:dyDescent="0.3">
      <c r="A414" s="1505"/>
      <c r="B414" s="2012" t="s">
        <v>1051</v>
      </c>
      <c r="C414" s="1508"/>
      <c r="D414" s="1508"/>
      <c r="E414" s="1508"/>
      <c r="F414" s="937" t="s">
        <v>1052</v>
      </c>
      <c r="G414" s="2046"/>
      <c r="H414" s="2046"/>
      <c r="I414" s="1508"/>
      <c r="J414" s="1087"/>
      <c r="K414" s="1064"/>
      <c r="L414" s="1064"/>
      <c r="M414" s="1563"/>
      <c r="N414" s="2520">
        <f>N415</f>
        <v>1444.778</v>
      </c>
      <c r="O414" s="2541"/>
      <c r="P414" s="2542"/>
      <c r="Q414" s="2581"/>
      <c r="R414" s="2582"/>
      <c r="S414" s="2514"/>
      <c r="T414" s="2514"/>
      <c r="U414" s="2514"/>
      <c r="V414" s="2520">
        <f t="shared" si="216"/>
        <v>1170.1120000000001</v>
      </c>
      <c r="W414" s="2520">
        <f t="shared" si="216"/>
        <v>874.66700000000003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6" x14ac:dyDescent="0.3">
      <c r="A415" s="1505"/>
      <c r="B415" s="2012" t="s">
        <v>1048</v>
      </c>
      <c r="C415" s="1508"/>
      <c r="D415" s="1508"/>
      <c r="E415" s="1508"/>
      <c r="F415" s="937" t="s">
        <v>1052</v>
      </c>
      <c r="G415" s="2045" t="s">
        <v>955</v>
      </c>
      <c r="H415" s="2046"/>
      <c r="I415" s="1508"/>
      <c r="J415" s="1087"/>
      <c r="K415" s="1064"/>
      <c r="L415" s="1064"/>
      <c r="M415" s="1563"/>
      <c r="N415" s="2520">
        <f>N416</f>
        <v>1444.778</v>
      </c>
      <c r="O415" s="2541"/>
      <c r="P415" s="2542"/>
      <c r="Q415" s="2581"/>
      <c r="R415" s="2582"/>
      <c r="S415" s="2514"/>
      <c r="T415" s="2514"/>
      <c r="U415" s="2514"/>
      <c r="V415" s="2520">
        <f t="shared" si="216"/>
        <v>1170.1120000000001</v>
      </c>
      <c r="W415" s="2520">
        <f t="shared" si="216"/>
        <v>874.66700000000003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6" x14ac:dyDescent="0.25">
      <c r="A416" s="1505"/>
      <c r="B416" s="1544" t="s">
        <v>454</v>
      </c>
      <c r="C416" s="1508"/>
      <c r="D416" s="1508"/>
      <c r="E416" s="1508"/>
      <c r="F416" s="937" t="s">
        <v>1052</v>
      </c>
      <c r="G416" s="2045" t="s">
        <v>1</v>
      </c>
      <c r="H416" s="2046"/>
      <c r="I416" s="1508"/>
      <c r="J416" s="1087"/>
      <c r="K416" s="1064"/>
      <c r="L416" s="1064"/>
      <c r="M416" s="1563"/>
      <c r="N416" s="2520">
        <f>N417</f>
        <v>1444.778</v>
      </c>
      <c r="O416" s="2541"/>
      <c r="P416" s="2542"/>
      <c r="Q416" s="2581"/>
      <c r="R416" s="2582"/>
      <c r="S416" s="2514"/>
      <c r="T416" s="2514"/>
      <c r="U416" s="2514"/>
      <c r="V416" s="2520">
        <f t="shared" si="216"/>
        <v>1170.1120000000001</v>
      </c>
      <c r="W416" s="2520">
        <f t="shared" si="216"/>
        <v>874.66700000000003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13" x14ac:dyDescent="0.3">
      <c r="A417" s="1505"/>
      <c r="B417" s="2012" t="s">
        <v>34</v>
      </c>
      <c r="C417" s="1508"/>
      <c r="D417" s="1508"/>
      <c r="E417" s="1508"/>
      <c r="F417" s="937" t="s">
        <v>1052</v>
      </c>
      <c r="G417" s="2045" t="s">
        <v>1</v>
      </c>
      <c r="H417" s="2045" t="s">
        <v>463</v>
      </c>
      <c r="I417" s="1508" t="s">
        <v>495</v>
      </c>
      <c r="J417" s="1087"/>
      <c r="K417" s="1064"/>
      <c r="L417" s="1064"/>
      <c r="M417" s="1563"/>
      <c r="N417" s="2520">
        <v>1444.778</v>
      </c>
      <c r="O417" s="2541"/>
      <c r="P417" s="2542"/>
      <c r="Q417" s="2581"/>
      <c r="R417" s="2582"/>
      <c r="S417" s="2514"/>
      <c r="T417" s="2514"/>
      <c r="U417" s="2514"/>
      <c r="V417" s="2520">
        <v>1170.1120000000001</v>
      </c>
      <c r="W417" s="2520">
        <v>874.66700000000003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9" x14ac:dyDescent="0.25">
      <c r="A418" s="1504">
        <v>12</v>
      </c>
      <c r="B418" s="2151" t="s">
        <v>1094</v>
      </c>
      <c r="C418" s="9"/>
      <c r="D418" s="9"/>
      <c r="E418" s="9"/>
      <c r="F418" s="1511" t="s">
        <v>952</v>
      </c>
      <c r="G418" s="1511"/>
      <c r="H418" s="1511"/>
      <c r="I418" s="1511"/>
      <c r="J418" s="1087"/>
      <c r="K418" s="1064"/>
      <c r="L418" s="1064"/>
      <c r="M418" s="1563"/>
      <c r="N418" s="2549">
        <f>N424+N419</f>
        <v>0</v>
      </c>
      <c r="O418" s="2550"/>
      <c r="P418" s="2551"/>
      <c r="Q418" s="2583">
        <f>Q419+Q424</f>
        <v>1265</v>
      </c>
      <c r="R418" s="2584">
        <f>R419+R424</f>
        <v>1391.5</v>
      </c>
      <c r="S418" s="2514"/>
      <c r="T418" s="2514"/>
      <c r="U418" s="2514"/>
      <c r="V418" s="2549">
        <f t="shared" ref="V418:W418" si="217">V424+V419</f>
        <v>974.88388999999995</v>
      </c>
      <c r="W418" s="2549">
        <f t="shared" si="217"/>
        <v>706.66449999999998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38.15" customHeight="1" x14ac:dyDescent="0.25">
      <c r="A419" s="1505"/>
      <c r="B419" s="1873" t="s">
        <v>1128</v>
      </c>
      <c r="C419" s="9"/>
      <c r="D419" s="9"/>
      <c r="E419" s="9"/>
      <c r="F419" s="532" t="s">
        <v>1125</v>
      </c>
      <c r="G419" s="1513"/>
      <c r="H419" s="1513"/>
      <c r="I419" s="1513"/>
      <c r="J419" s="1087"/>
      <c r="K419" s="1064"/>
      <c r="L419" s="1064"/>
      <c r="M419" s="1563"/>
      <c r="N419" s="2520">
        <f>N420</f>
        <v>0</v>
      </c>
      <c r="O419" s="2541"/>
      <c r="P419" s="2542"/>
      <c r="Q419" s="2581">
        <f t="shared" ref="Q419:R422" si="218">Q420</f>
        <v>0</v>
      </c>
      <c r="R419" s="2582">
        <f t="shared" si="218"/>
        <v>0</v>
      </c>
      <c r="S419" s="2514"/>
      <c r="T419" s="2514"/>
      <c r="U419" s="2514"/>
      <c r="V419" s="2520">
        <f>V420</f>
        <v>0</v>
      </c>
      <c r="W419" s="2520">
        <f>W420</f>
        <v>706.66449999999998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4.5" x14ac:dyDescent="0.25">
      <c r="A420" s="1505"/>
      <c r="B420" s="2053" t="s">
        <v>1127</v>
      </c>
      <c r="C420" s="9"/>
      <c r="D420" s="9"/>
      <c r="E420" s="9"/>
      <c r="F420" s="532" t="s">
        <v>1126</v>
      </c>
      <c r="G420" s="2054"/>
      <c r="H420" s="2054"/>
      <c r="I420" s="2054"/>
      <c r="J420" s="1087"/>
      <c r="K420" s="1064"/>
      <c r="L420" s="1064"/>
      <c r="M420" s="1563"/>
      <c r="N420" s="2520">
        <f>N421</f>
        <v>0</v>
      </c>
      <c r="O420" s="2541"/>
      <c r="P420" s="2542"/>
      <c r="Q420" s="2581">
        <f t="shared" si="218"/>
        <v>0</v>
      </c>
      <c r="R420" s="2582">
        <f t="shared" si="218"/>
        <v>0</v>
      </c>
      <c r="S420" s="2514"/>
      <c r="T420" s="2514"/>
      <c r="U420" s="2514"/>
      <c r="V420" s="2520">
        <f>V421</f>
        <v>0</v>
      </c>
      <c r="W420" s="2520">
        <f>W421</f>
        <v>706.66449999999998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23" x14ac:dyDescent="0.25">
      <c r="A421" s="1505"/>
      <c r="B421" s="1515" t="s">
        <v>948</v>
      </c>
      <c r="C421" s="9"/>
      <c r="D421" s="9"/>
      <c r="E421" s="9"/>
      <c r="F421" s="532" t="s">
        <v>1126</v>
      </c>
      <c r="G421" s="2054" t="s">
        <v>955</v>
      </c>
      <c r="H421" s="2054"/>
      <c r="I421" s="2054"/>
      <c r="J421" s="1087"/>
      <c r="K421" s="1064"/>
      <c r="L421" s="1064"/>
      <c r="M421" s="1563"/>
      <c r="N421" s="2520">
        <f>N422</f>
        <v>0</v>
      </c>
      <c r="O421" s="2541"/>
      <c r="P421" s="2542"/>
      <c r="Q421" s="2581">
        <f t="shared" si="218"/>
        <v>0</v>
      </c>
      <c r="R421" s="2582">
        <f t="shared" si="218"/>
        <v>0</v>
      </c>
      <c r="S421" s="2514"/>
      <c r="T421" s="2514"/>
      <c r="U421" s="2514"/>
      <c r="V421" s="2520">
        <v>0</v>
      </c>
      <c r="W421" s="2520">
        <f>W422</f>
        <v>706.66449999999998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23" x14ac:dyDescent="0.25">
      <c r="A422" s="1505"/>
      <c r="B422" s="1516" t="s">
        <v>454</v>
      </c>
      <c r="C422" s="9"/>
      <c r="D422" s="9"/>
      <c r="E422" s="9"/>
      <c r="F422" s="532" t="s">
        <v>1126</v>
      </c>
      <c r="G422" s="1517" t="s">
        <v>1</v>
      </c>
      <c r="H422" s="2054"/>
      <c r="I422" s="2054"/>
      <c r="J422" s="1087"/>
      <c r="K422" s="1064"/>
      <c r="L422" s="1064"/>
      <c r="M422" s="1563"/>
      <c r="N422" s="2520">
        <f>N423</f>
        <v>0</v>
      </c>
      <c r="O422" s="2541"/>
      <c r="P422" s="2542"/>
      <c r="Q422" s="2581">
        <f t="shared" si="218"/>
        <v>0</v>
      </c>
      <c r="R422" s="2582">
        <f t="shared" si="218"/>
        <v>0</v>
      </c>
      <c r="S422" s="2514"/>
      <c r="T422" s="2514"/>
      <c r="U422" s="2514"/>
      <c r="V422" s="2520">
        <f>V423</f>
        <v>0</v>
      </c>
      <c r="W422" s="2520">
        <f>W423</f>
        <v>706.66449999999998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13" x14ac:dyDescent="0.25">
      <c r="A423" s="1505"/>
      <c r="B423" s="1516" t="s">
        <v>34</v>
      </c>
      <c r="C423" s="9"/>
      <c r="D423" s="9"/>
      <c r="E423" s="9"/>
      <c r="F423" s="532" t="s">
        <v>1126</v>
      </c>
      <c r="G423" s="1517" t="s">
        <v>1</v>
      </c>
      <c r="H423" s="2054" t="s">
        <v>463</v>
      </c>
      <c r="I423" s="2054" t="s">
        <v>495</v>
      </c>
      <c r="J423" s="1087"/>
      <c r="K423" s="1064"/>
      <c r="L423" s="1064"/>
      <c r="M423" s="1563"/>
      <c r="N423" s="2520">
        <v>0</v>
      </c>
      <c r="O423" s="2541"/>
      <c r="P423" s="2542"/>
      <c r="Q423" s="2581"/>
      <c r="R423" s="2582"/>
      <c r="S423" s="2514"/>
      <c r="T423" s="2514"/>
      <c r="U423" s="2514"/>
      <c r="V423" s="2520">
        <v>0</v>
      </c>
      <c r="W423" s="2520">
        <v>706.66449999999998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x14ac:dyDescent="0.25">
      <c r="A424" s="1505"/>
      <c r="B424" s="2009" t="s">
        <v>1019</v>
      </c>
      <c r="C424" s="9"/>
      <c r="D424" s="9"/>
      <c r="E424" s="9"/>
      <c r="F424" s="532" t="s">
        <v>1020</v>
      </c>
      <c r="G424" s="1513"/>
      <c r="H424" s="1513"/>
      <c r="I424" s="1513"/>
      <c r="J424" s="1087"/>
      <c r="K424" s="1064"/>
      <c r="L424" s="1064"/>
      <c r="M424" s="1563"/>
      <c r="N424" s="2520">
        <f>N425</f>
        <v>0</v>
      </c>
      <c r="O424" s="2541"/>
      <c r="P424" s="2542"/>
      <c r="Q424" s="2581">
        <f>Q425</f>
        <v>1265</v>
      </c>
      <c r="R424" s="2582">
        <f>R425</f>
        <v>1391.5</v>
      </c>
      <c r="S424" s="2514"/>
      <c r="T424" s="2514"/>
      <c r="U424" s="2514"/>
      <c r="V424" s="2520">
        <f>V425</f>
        <v>974.88388999999995</v>
      </c>
      <c r="W424" s="2520">
        <f>W425</f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55.15" customHeight="1" x14ac:dyDescent="0.25">
      <c r="A425" s="1505"/>
      <c r="B425" s="724" t="s">
        <v>1021</v>
      </c>
      <c r="C425" s="9"/>
      <c r="D425" s="9"/>
      <c r="E425" s="9"/>
      <c r="F425" s="2038" t="s">
        <v>1022</v>
      </c>
      <c r="G425" s="2054"/>
      <c r="H425" s="2054"/>
      <c r="I425" s="2054"/>
      <c r="J425" s="1087"/>
      <c r="K425" s="1064"/>
      <c r="L425" s="1064"/>
      <c r="M425" s="1563"/>
      <c r="N425" s="2520">
        <f t="shared" si="208"/>
        <v>0</v>
      </c>
      <c r="O425" s="2541"/>
      <c r="P425" s="2542"/>
      <c r="Q425" s="2581">
        <f t="shared" ref="Q425:R427" si="219">Q426</f>
        <v>1265</v>
      </c>
      <c r="R425" s="2582">
        <f t="shared" si="219"/>
        <v>1391.5</v>
      </c>
      <c r="S425" s="2514"/>
      <c r="T425" s="2514"/>
      <c r="U425" s="2514"/>
      <c r="V425" s="2520">
        <f t="shared" si="209"/>
        <v>974.88388999999995</v>
      </c>
      <c r="W425" s="2520">
        <f t="shared" si="209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" x14ac:dyDescent="0.25">
      <c r="A426" s="1505"/>
      <c r="B426" s="724" t="s">
        <v>948</v>
      </c>
      <c r="C426" s="9"/>
      <c r="D426" s="9"/>
      <c r="E426" s="9"/>
      <c r="F426" s="2038" t="s">
        <v>1022</v>
      </c>
      <c r="G426" s="2038" t="s">
        <v>955</v>
      </c>
      <c r="H426" s="2038"/>
      <c r="I426" s="2038"/>
      <c r="J426" s="1087"/>
      <c r="K426" s="1064"/>
      <c r="L426" s="1064"/>
      <c r="M426" s="1563"/>
      <c r="N426" s="2520">
        <f t="shared" si="208"/>
        <v>0</v>
      </c>
      <c r="O426" s="2541"/>
      <c r="P426" s="2542"/>
      <c r="Q426" s="2581">
        <f t="shared" si="219"/>
        <v>1265</v>
      </c>
      <c r="R426" s="2582">
        <f t="shared" si="219"/>
        <v>1391.5</v>
      </c>
      <c r="S426" s="2514"/>
      <c r="T426" s="2514"/>
      <c r="U426" s="2514"/>
      <c r="V426" s="2520">
        <f t="shared" si="209"/>
        <v>974.88388999999995</v>
      </c>
      <c r="W426" s="2520">
        <f t="shared" si="209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6" x14ac:dyDescent="0.25">
      <c r="A427" s="1505"/>
      <c r="B427" s="1544" t="s">
        <v>454</v>
      </c>
      <c r="C427" s="9"/>
      <c r="D427" s="9"/>
      <c r="E427" s="9"/>
      <c r="F427" s="2038" t="s">
        <v>1022</v>
      </c>
      <c r="G427" s="532" t="s">
        <v>1</v>
      </c>
      <c r="H427" s="2038"/>
      <c r="I427" s="2038"/>
      <c r="J427" s="1087"/>
      <c r="K427" s="1064"/>
      <c r="L427" s="1064"/>
      <c r="M427" s="1563"/>
      <c r="N427" s="2520">
        <f t="shared" si="208"/>
        <v>0</v>
      </c>
      <c r="O427" s="2541"/>
      <c r="P427" s="2542"/>
      <c r="Q427" s="2581">
        <f t="shared" si="219"/>
        <v>1265</v>
      </c>
      <c r="R427" s="2582">
        <f t="shared" si="219"/>
        <v>1391.5</v>
      </c>
      <c r="S427" s="2514"/>
      <c r="T427" s="2514"/>
      <c r="U427" s="2514"/>
      <c r="V427" s="2520">
        <f t="shared" si="209"/>
        <v>974.88388999999995</v>
      </c>
      <c r="W427" s="2520">
        <f t="shared" si="209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12.65" customHeight="1" x14ac:dyDescent="0.25">
      <c r="A428" s="1505"/>
      <c r="B428" s="534" t="s">
        <v>34</v>
      </c>
      <c r="C428" s="9"/>
      <c r="D428" s="9"/>
      <c r="E428" s="9"/>
      <c r="F428" s="2038" t="s">
        <v>1022</v>
      </c>
      <c r="G428" s="532" t="s">
        <v>1</v>
      </c>
      <c r="H428" s="2038" t="s">
        <v>463</v>
      </c>
      <c r="I428" s="2038" t="s">
        <v>495</v>
      </c>
      <c r="J428" s="1087"/>
      <c r="K428" s="1064"/>
      <c r="L428" s="1064"/>
      <c r="M428" s="1563"/>
      <c r="N428" s="2520">
        <f>959.368-607.30132-352.06668</f>
        <v>0</v>
      </c>
      <c r="O428" s="2541"/>
      <c r="P428" s="2542"/>
      <c r="Q428" s="2581">
        <f>385+880</f>
        <v>1265</v>
      </c>
      <c r="R428" s="2582">
        <f>423.5+968</f>
        <v>1391.5</v>
      </c>
      <c r="S428" s="2514"/>
      <c r="T428" s="2514"/>
      <c r="U428" s="2514"/>
      <c r="V428" s="2520">
        <v>974.88388999999995</v>
      </c>
      <c r="W428" s="2520"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44.25" hidden="1" customHeight="1" x14ac:dyDescent="0.3">
      <c r="A429" s="32"/>
      <c r="B429" s="2055"/>
      <c r="C429" s="142"/>
      <c r="D429" s="142"/>
      <c r="E429" s="142"/>
      <c r="F429" s="142"/>
      <c r="G429" s="142"/>
      <c r="H429" s="142"/>
      <c r="I429" s="142"/>
      <c r="J429" s="1061"/>
      <c r="K429" s="1064"/>
      <c r="L429" s="1064"/>
      <c r="M429" s="1563"/>
      <c r="N429" s="2520"/>
      <c r="O429" s="2541"/>
      <c r="P429" s="2542"/>
      <c r="Q429" s="2543"/>
      <c r="R429" s="2544"/>
      <c r="S429" s="2514"/>
      <c r="T429" s="2514"/>
      <c r="U429" s="2514"/>
      <c r="V429" s="2520"/>
      <c r="W429" s="2520"/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ht="13" hidden="1" x14ac:dyDescent="0.3">
      <c r="A430" s="32"/>
      <c r="B430" s="2056"/>
      <c r="C430" s="9"/>
      <c r="D430" s="9"/>
      <c r="E430" s="9"/>
      <c r="F430" s="9"/>
      <c r="G430" s="9"/>
      <c r="H430" s="9"/>
      <c r="I430" s="9"/>
      <c r="J430" s="1061"/>
      <c r="K430" s="1064"/>
      <c r="L430" s="1064"/>
      <c r="M430" s="1563"/>
      <c r="N430" s="2520"/>
      <c r="O430" s="2541"/>
      <c r="P430" s="2542"/>
      <c r="Q430" s="2543"/>
      <c r="R430" s="2544"/>
      <c r="S430" s="2514"/>
      <c r="T430" s="2514"/>
      <c r="U430" s="2514"/>
      <c r="V430" s="2520"/>
      <c r="W430" s="2520"/>
    </row>
    <row r="431" spans="1:256" ht="42.75" hidden="1" customHeight="1" x14ac:dyDescent="0.3">
      <c r="A431" s="32"/>
      <c r="B431" s="2056"/>
      <c r="C431" s="9"/>
      <c r="D431" s="9"/>
      <c r="E431" s="9"/>
      <c r="F431" s="9"/>
      <c r="G431" s="9"/>
      <c r="H431" s="9"/>
      <c r="I431" s="9"/>
      <c r="J431" s="1061"/>
      <c r="K431" s="1064"/>
      <c r="L431" s="1064"/>
      <c r="M431" s="1563"/>
      <c r="N431" s="2520"/>
      <c r="O431" s="2541"/>
      <c r="P431" s="2542"/>
      <c r="Q431" s="2543"/>
      <c r="R431" s="2544"/>
      <c r="S431" s="2514"/>
      <c r="T431" s="2514"/>
      <c r="U431" s="2514"/>
      <c r="V431" s="2520"/>
      <c r="W431" s="2520"/>
    </row>
    <row r="432" spans="1:256" ht="72.75" hidden="1" customHeight="1" x14ac:dyDescent="0.25">
      <c r="A432" s="91">
        <v>9</v>
      </c>
      <c r="B432" s="134" t="s">
        <v>176</v>
      </c>
      <c r="C432" s="34"/>
      <c r="D432" s="94" t="s">
        <v>15</v>
      </c>
      <c r="E432" s="34" t="s">
        <v>32</v>
      </c>
      <c r="F432" s="34" t="s">
        <v>175</v>
      </c>
      <c r="G432" s="131"/>
      <c r="H432" s="131"/>
      <c r="I432" s="34"/>
      <c r="J432" s="51">
        <f>J433</f>
        <v>3000</v>
      </c>
      <c r="K432" s="51"/>
      <c r="L432" s="51">
        <f>L434</f>
        <v>6008.35</v>
      </c>
      <c r="M432" s="1553">
        <f>M434</f>
        <v>8515.7049999999999</v>
      </c>
      <c r="N432" s="2549">
        <f t="shared" ref="N432:R434" si="220">N433</f>
        <v>0</v>
      </c>
      <c r="O432" s="2516">
        <f t="shared" si="220"/>
        <v>3500</v>
      </c>
      <c r="P432" s="2517">
        <f t="shared" si="220"/>
        <v>3500</v>
      </c>
      <c r="Q432" s="2518">
        <f t="shared" si="220"/>
        <v>0</v>
      </c>
      <c r="R432" s="2519">
        <f t="shared" si="220"/>
        <v>0</v>
      </c>
      <c r="S432" s="2514"/>
      <c r="T432" s="2514"/>
      <c r="U432" s="2514"/>
      <c r="V432" s="2549">
        <f t="shared" ref="V432:W434" si="221">V433</f>
        <v>0</v>
      </c>
      <c r="W432" s="2549">
        <f t="shared" si="221"/>
        <v>0</v>
      </c>
    </row>
    <row r="433" spans="1:256" s="2" customFormat="1" ht="57" hidden="1" customHeight="1" x14ac:dyDescent="0.25">
      <c r="A433" s="91"/>
      <c r="B433" s="1098" t="s">
        <v>174</v>
      </c>
      <c r="C433" s="34"/>
      <c r="D433" s="94"/>
      <c r="E433" s="34"/>
      <c r="F433" s="9" t="s">
        <v>173</v>
      </c>
      <c r="G433" s="48"/>
      <c r="H433" s="48"/>
      <c r="I433" s="9"/>
      <c r="J433" s="47">
        <f>J434</f>
        <v>3000</v>
      </c>
      <c r="K433" s="51"/>
      <c r="L433" s="51"/>
      <c r="M433" s="1553"/>
      <c r="N433" s="2520">
        <f t="shared" si="220"/>
        <v>0</v>
      </c>
      <c r="O433" s="2585">
        <f t="shared" si="220"/>
        <v>3500</v>
      </c>
      <c r="P433" s="2586">
        <f t="shared" si="220"/>
        <v>3500</v>
      </c>
      <c r="Q433" s="2587">
        <f t="shared" si="220"/>
        <v>0</v>
      </c>
      <c r="R433" s="2588">
        <f t="shared" si="220"/>
        <v>0</v>
      </c>
      <c r="S433" s="2514"/>
      <c r="T433" s="2514"/>
      <c r="U433" s="2514"/>
      <c r="V433" s="2520">
        <f t="shared" si="221"/>
        <v>0</v>
      </c>
      <c r="W433" s="2520">
        <f t="shared" si="221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3" hidden="1" x14ac:dyDescent="0.25">
      <c r="A434" s="32"/>
      <c r="B434" s="133" t="s">
        <v>172</v>
      </c>
      <c r="C434" s="9"/>
      <c r="D434" s="88" t="s">
        <v>15</v>
      </c>
      <c r="E434" s="9" t="s">
        <v>32</v>
      </c>
      <c r="F434" s="9" t="s">
        <v>159</v>
      </c>
      <c r="G434" s="9"/>
      <c r="H434" s="9"/>
      <c r="I434" s="9"/>
      <c r="J434" s="1061">
        <f>J435</f>
        <v>3000</v>
      </c>
      <c r="K434" s="1065"/>
      <c r="L434" s="1064">
        <f>L435</f>
        <v>6008.35</v>
      </c>
      <c r="M434" s="1563">
        <f>M435</f>
        <v>8515.7049999999999</v>
      </c>
      <c r="N434" s="2520">
        <f t="shared" si="220"/>
        <v>0</v>
      </c>
      <c r="O434" s="2541">
        <f t="shared" si="220"/>
        <v>3500</v>
      </c>
      <c r="P434" s="2542">
        <f t="shared" si="220"/>
        <v>3500</v>
      </c>
      <c r="Q434" s="2543">
        <f t="shared" si="220"/>
        <v>0</v>
      </c>
      <c r="R434" s="2544">
        <f t="shared" si="220"/>
        <v>0</v>
      </c>
      <c r="S434" s="2514"/>
      <c r="T434" s="2514"/>
      <c r="U434" s="2514"/>
      <c r="V434" s="2520">
        <f t="shared" si="221"/>
        <v>0</v>
      </c>
      <c r="W434" s="2520">
        <f t="shared" si="221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13" hidden="1" x14ac:dyDescent="0.3">
      <c r="A435" s="32"/>
      <c r="B435" s="2003" t="s">
        <v>16</v>
      </c>
      <c r="C435" s="9"/>
      <c r="D435" s="88" t="s">
        <v>15</v>
      </c>
      <c r="E435" s="9" t="s">
        <v>32</v>
      </c>
      <c r="F435" s="9" t="s">
        <v>159</v>
      </c>
      <c r="G435" s="9" t="s">
        <v>1</v>
      </c>
      <c r="H435" s="9"/>
      <c r="I435" s="9"/>
      <c r="J435" s="1061">
        <f>J441</f>
        <v>3000</v>
      </c>
      <c r="K435" s="1065"/>
      <c r="L435" s="1064">
        <v>6008.35</v>
      </c>
      <c r="M435" s="1563">
        <v>8515.7049999999999</v>
      </c>
      <c r="N435" s="2520">
        <f>N441</f>
        <v>0</v>
      </c>
      <c r="O435" s="2541">
        <f>O441</f>
        <v>3500</v>
      </c>
      <c r="P435" s="2542">
        <f>P441</f>
        <v>3500</v>
      </c>
      <c r="Q435" s="2543">
        <f>Q441</f>
        <v>0</v>
      </c>
      <c r="R435" s="2544">
        <f>R441</f>
        <v>0</v>
      </c>
      <c r="S435" s="2514"/>
      <c r="T435" s="2514"/>
      <c r="U435" s="2514"/>
      <c r="V435" s="2520">
        <f>V441</f>
        <v>0</v>
      </c>
      <c r="W435" s="2520">
        <f>W441</f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39" hidden="1" x14ac:dyDescent="0.25">
      <c r="A436" s="32"/>
      <c r="B436" s="52" t="s">
        <v>171</v>
      </c>
      <c r="C436" s="9"/>
      <c r="D436" s="34" t="s">
        <v>168</v>
      </c>
      <c r="E436" s="34" t="s">
        <v>166</v>
      </c>
      <c r="F436" s="34" t="s">
        <v>170</v>
      </c>
      <c r="G436" s="131"/>
      <c r="H436" s="131"/>
      <c r="I436" s="34" t="s">
        <v>166</v>
      </c>
      <c r="J436" s="48"/>
      <c r="K436" s="131"/>
      <c r="M436" s="1564"/>
      <c r="N436" s="2520"/>
      <c r="O436" s="2585"/>
      <c r="P436" s="2586"/>
      <c r="Q436" s="2587"/>
      <c r="R436" s="2588"/>
      <c r="S436" s="2514"/>
      <c r="T436" s="2514"/>
      <c r="U436" s="2514"/>
      <c r="V436" s="2520"/>
      <c r="W436" s="2520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39" hidden="1" x14ac:dyDescent="0.25">
      <c r="A437" s="32"/>
      <c r="B437" s="49" t="s">
        <v>169</v>
      </c>
      <c r="C437" s="9"/>
      <c r="D437" s="9" t="s">
        <v>168</v>
      </c>
      <c r="E437" s="9" t="s">
        <v>166</v>
      </c>
      <c r="F437" s="9" t="s">
        <v>167</v>
      </c>
      <c r="G437" s="88"/>
      <c r="H437" s="88"/>
      <c r="I437" s="9" t="s">
        <v>166</v>
      </c>
      <c r="J437" s="1063"/>
      <c r="K437" s="1063"/>
      <c r="L437" s="1063"/>
      <c r="M437" s="1125"/>
      <c r="N437" s="2520"/>
      <c r="O437" s="2541"/>
      <c r="P437" s="2542"/>
      <c r="Q437" s="2543"/>
      <c r="R437" s="2544"/>
      <c r="S437" s="2514"/>
      <c r="T437" s="2514"/>
      <c r="U437" s="2514"/>
      <c r="V437" s="2520"/>
      <c r="W437" s="2520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39" hidden="1" x14ac:dyDescent="0.25">
      <c r="A438" s="32"/>
      <c r="B438" s="132" t="s">
        <v>165</v>
      </c>
      <c r="C438" s="34"/>
      <c r="D438" s="94" t="s">
        <v>15</v>
      </c>
      <c r="E438" s="34" t="s">
        <v>13</v>
      </c>
      <c r="F438" s="34" t="s">
        <v>164</v>
      </c>
      <c r="G438" s="131"/>
      <c r="H438" s="131"/>
      <c r="I438" s="34" t="s">
        <v>13</v>
      </c>
      <c r="J438" s="48"/>
      <c r="K438" s="130"/>
      <c r="M438" s="1554"/>
      <c r="N438" s="2520"/>
      <c r="O438" s="2585"/>
      <c r="P438" s="2586"/>
      <c r="Q438" s="2587"/>
      <c r="R438" s="2588"/>
      <c r="S438" s="2514"/>
      <c r="T438" s="2514"/>
      <c r="U438" s="2514"/>
      <c r="V438" s="2520"/>
      <c r="W438" s="2520"/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52" hidden="1" x14ac:dyDescent="0.25">
      <c r="A439" s="32"/>
      <c r="B439" s="49" t="s">
        <v>163</v>
      </c>
      <c r="C439" s="9"/>
      <c r="D439" s="88" t="s">
        <v>15</v>
      </c>
      <c r="E439" s="9" t="s">
        <v>13</v>
      </c>
      <c r="F439" s="9" t="s">
        <v>162</v>
      </c>
      <c r="G439" s="9"/>
      <c r="H439" s="9"/>
      <c r="I439" s="9" t="s">
        <v>13</v>
      </c>
      <c r="J439" s="1063"/>
      <c r="K439" s="1065"/>
      <c r="L439" s="1065"/>
      <c r="M439" s="1552"/>
      <c r="N439" s="2520"/>
      <c r="O439" s="2541"/>
      <c r="P439" s="2542"/>
      <c r="Q439" s="2543"/>
      <c r="R439" s="2544"/>
      <c r="S439" s="2514"/>
      <c r="T439" s="2514"/>
      <c r="U439" s="2514"/>
      <c r="V439" s="2520"/>
      <c r="W439" s="2520"/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52" hidden="1" x14ac:dyDescent="0.25">
      <c r="A440" s="32"/>
      <c r="B440" s="58" t="s">
        <v>161</v>
      </c>
      <c r="C440" s="34"/>
      <c r="D440" s="88" t="s">
        <v>15</v>
      </c>
      <c r="E440" s="9" t="s">
        <v>13</v>
      </c>
      <c r="F440" s="9" t="s">
        <v>160</v>
      </c>
      <c r="G440" s="9"/>
      <c r="H440" s="9"/>
      <c r="I440" s="9" t="s">
        <v>13</v>
      </c>
      <c r="J440" s="1063"/>
      <c r="K440" s="1065"/>
      <c r="L440" s="1065"/>
      <c r="M440" s="1552"/>
      <c r="N440" s="2520"/>
      <c r="O440" s="2541"/>
      <c r="P440" s="2542"/>
      <c r="Q440" s="2543"/>
      <c r="R440" s="2544"/>
      <c r="S440" s="2514"/>
      <c r="T440" s="2514"/>
      <c r="U440" s="2514"/>
      <c r="V440" s="2520"/>
      <c r="W440" s="2520"/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32.15" hidden="1" customHeight="1" x14ac:dyDescent="0.3">
      <c r="A441" s="32"/>
      <c r="B441" s="744" t="s">
        <v>34</v>
      </c>
      <c r="C441" s="9"/>
      <c r="D441" s="88" t="s">
        <v>15</v>
      </c>
      <c r="E441" s="9" t="s">
        <v>32</v>
      </c>
      <c r="F441" s="9" t="s">
        <v>159</v>
      </c>
      <c r="G441" s="9" t="s">
        <v>1</v>
      </c>
      <c r="H441" s="9" t="s">
        <v>463</v>
      </c>
      <c r="I441" s="9" t="s">
        <v>495</v>
      </c>
      <c r="J441" s="1061">
        <v>3000</v>
      </c>
      <c r="K441" s="1065"/>
      <c r="L441" s="1064">
        <v>6008.35</v>
      </c>
      <c r="M441" s="1563">
        <v>8515.7049999999999</v>
      </c>
      <c r="N441" s="2520"/>
      <c r="O441" s="2541">
        <v>3500</v>
      </c>
      <c r="P441" s="2542">
        <v>3500</v>
      </c>
      <c r="Q441" s="2543"/>
      <c r="R441" s="2544"/>
      <c r="S441" s="2514"/>
      <c r="T441" s="2514"/>
      <c r="U441" s="2514"/>
      <c r="V441" s="2520"/>
      <c r="W441" s="2520"/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52" x14ac:dyDescent="0.25">
      <c r="A442" s="1504">
        <v>12</v>
      </c>
      <c r="B442" s="2151" t="s">
        <v>1067</v>
      </c>
      <c r="C442" s="1508"/>
      <c r="D442" s="1508"/>
      <c r="E442" s="1508"/>
      <c r="F442" s="2048" t="s">
        <v>1014</v>
      </c>
      <c r="G442" s="2046"/>
      <c r="H442" s="2046"/>
      <c r="I442" s="1508"/>
      <c r="J442" s="1087"/>
      <c r="K442" s="1064"/>
      <c r="L442" s="1064"/>
      <c r="M442" s="1563"/>
      <c r="N442" s="2549">
        <f>N443</f>
        <v>450.44499999999994</v>
      </c>
      <c r="O442" s="2541"/>
      <c r="P442" s="2542"/>
      <c r="Q442" s="2589"/>
      <c r="R442" s="2544"/>
      <c r="S442" s="2514"/>
      <c r="T442" s="2514"/>
      <c r="U442" s="2514"/>
      <c r="V442" s="2549">
        <f t="shared" ref="V442:W446" si="222">V443</f>
        <v>426.73700000000002</v>
      </c>
      <c r="W442" s="2549">
        <f t="shared" si="222"/>
        <v>150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13" x14ac:dyDescent="0.25">
      <c r="A443" s="1505"/>
      <c r="B443" s="2067" t="s">
        <v>1023</v>
      </c>
      <c r="C443" s="1508"/>
      <c r="D443" s="1508"/>
      <c r="E443" s="1508"/>
      <c r="F443" s="2045" t="s">
        <v>1016</v>
      </c>
      <c r="G443" s="2046"/>
      <c r="H443" s="2046"/>
      <c r="I443" s="1508"/>
      <c r="J443" s="1087"/>
      <c r="K443" s="1064"/>
      <c r="L443" s="1064"/>
      <c r="M443" s="1563"/>
      <c r="N443" s="2520">
        <f>N444</f>
        <v>450.44499999999994</v>
      </c>
      <c r="O443" s="2541"/>
      <c r="P443" s="2542"/>
      <c r="Q443" s="2589"/>
      <c r="R443" s="2544"/>
      <c r="S443" s="2514"/>
      <c r="T443" s="2514"/>
      <c r="U443" s="2514"/>
      <c r="V443" s="2520">
        <f t="shared" si="222"/>
        <v>426.73700000000002</v>
      </c>
      <c r="W443" s="2520">
        <f t="shared" si="222"/>
        <v>150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39" x14ac:dyDescent="0.25">
      <c r="A444" s="1505"/>
      <c r="B444" s="2067" t="s">
        <v>1024</v>
      </c>
      <c r="C444" s="1508"/>
      <c r="D444" s="1508"/>
      <c r="E444" s="1508"/>
      <c r="F444" s="2045" t="s">
        <v>1018</v>
      </c>
      <c r="G444" s="2046"/>
      <c r="H444" s="2046"/>
      <c r="I444" s="1508"/>
      <c r="J444" s="1087"/>
      <c r="K444" s="1064"/>
      <c r="L444" s="1064"/>
      <c r="M444" s="1563"/>
      <c r="N444" s="2520">
        <f>N445</f>
        <v>450.44499999999994</v>
      </c>
      <c r="O444" s="2541"/>
      <c r="P444" s="2542"/>
      <c r="Q444" s="2589"/>
      <c r="R444" s="2544"/>
      <c r="S444" s="2514"/>
      <c r="T444" s="2514"/>
      <c r="U444" s="2514"/>
      <c r="V444" s="2520">
        <f t="shared" si="222"/>
        <v>426.73700000000002</v>
      </c>
      <c r="W444" s="2520">
        <f t="shared" si="222"/>
        <v>150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5.5" customHeight="1" x14ac:dyDescent="0.25">
      <c r="A445" s="1505"/>
      <c r="B445" s="724" t="s">
        <v>948</v>
      </c>
      <c r="C445" s="1508"/>
      <c r="D445" s="1508"/>
      <c r="E445" s="1508"/>
      <c r="F445" s="2045" t="s">
        <v>1018</v>
      </c>
      <c r="G445" s="2045" t="s">
        <v>955</v>
      </c>
      <c r="H445" s="2045"/>
      <c r="I445" s="1508"/>
      <c r="J445" s="1087"/>
      <c r="K445" s="1064"/>
      <c r="L445" s="1064"/>
      <c r="M445" s="1563"/>
      <c r="N445" s="2520">
        <f>N446</f>
        <v>450.44499999999994</v>
      </c>
      <c r="O445" s="2541"/>
      <c r="P445" s="2542"/>
      <c r="Q445" s="2589"/>
      <c r="R445" s="2544"/>
      <c r="S445" s="2514"/>
      <c r="T445" s="2514"/>
      <c r="U445" s="2514"/>
      <c r="V445" s="2520">
        <f t="shared" si="222"/>
        <v>426.73700000000002</v>
      </c>
      <c r="W445" s="2520">
        <f t="shared" si="222"/>
        <v>150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6" x14ac:dyDescent="0.25">
      <c r="A446" s="1505"/>
      <c r="B446" s="1544" t="s">
        <v>454</v>
      </c>
      <c r="C446" s="1508"/>
      <c r="D446" s="1508"/>
      <c r="E446" s="1508"/>
      <c r="F446" s="2045" t="s">
        <v>1018</v>
      </c>
      <c r="G446" s="2045" t="s">
        <v>1</v>
      </c>
      <c r="H446" s="2045"/>
      <c r="I446" s="1508"/>
      <c r="J446" s="1087"/>
      <c r="K446" s="1064"/>
      <c r="L446" s="1064"/>
      <c r="M446" s="1563"/>
      <c r="N446" s="2520">
        <f>N447</f>
        <v>450.44499999999994</v>
      </c>
      <c r="O446" s="2541"/>
      <c r="P446" s="2542"/>
      <c r="Q446" s="2589"/>
      <c r="R446" s="2544"/>
      <c r="S446" s="2514"/>
      <c r="T446" s="2514"/>
      <c r="U446" s="2514"/>
      <c r="V446" s="2520">
        <f t="shared" si="222"/>
        <v>426.73700000000002</v>
      </c>
      <c r="W446" s="2520">
        <f t="shared" si="222"/>
        <v>150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13" x14ac:dyDescent="0.25">
      <c r="A447" s="1505"/>
      <c r="B447" s="534" t="s">
        <v>34</v>
      </c>
      <c r="C447" s="1508"/>
      <c r="D447" s="1508"/>
      <c r="E447" s="1508"/>
      <c r="F447" s="2045" t="s">
        <v>1018</v>
      </c>
      <c r="G447" s="2045" t="s">
        <v>1</v>
      </c>
      <c r="H447" s="2045" t="s">
        <v>463</v>
      </c>
      <c r="I447" s="1508" t="s">
        <v>495</v>
      </c>
      <c r="J447" s="1087"/>
      <c r="K447" s="1064"/>
      <c r="L447" s="1064"/>
      <c r="M447" s="1563"/>
      <c r="N447" s="2520">
        <f>21.337+405.4+23.708</f>
        <v>450.44499999999994</v>
      </c>
      <c r="O447" s="2541"/>
      <c r="P447" s="2542"/>
      <c r="Q447" s="2589"/>
      <c r="R447" s="2544"/>
      <c r="S447" s="2514"/>
      <c r="T447" s="2514"/>
      <c r="U447" s="2514"/>
      <c r="V447" s="2520">
        <v>426.73700000000002</v>
      </c>
      <c r="W447" s="2520">
        <v>150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6" hidden="1" x14ac:dyDescent="0.25">
      <c r="A448" s="1504">
        <v>13</v>
      </c>
      <c r="B448" s="2151" t="s">
        <v>1143</v>
      </c>
      <c r="C448" s="1508"/>
      <c r="D448" s="1508"/>
      <c r="E448" s="1508"/>
      <c r="F448" s="2048" t="s">
        <v>1139</v>
      </c>
      <c r="G448" s="2046"/>
      <c r="H448" s="2046"/>
      <c r="I448" s="1508"/>
      <c r="J448" s="1087"/>
      <c r="K448" s="1064"/>
      <c r="L448" s="1064"/>
      <c r="M448" s="1563"/>
      <c r="N448" s="2549">
        <f>N449+N455</f>
        <v>0</v>
      </c>
      <c r="O448" s="2541"/>
      <c r="P448" s="2542"/>
      <c r="Q448" s="2589"/>
      <c r="R448" s="2544"/>
      <c r="S448" s="2514"/>
      <c r="T448" s="2514"/>
      <c r="U448" s="2514"/>
      <c r="V448" s="2549">
        <f>V449+V455</f>
        <v>0</v>
      </c>
      <c r="W448" s="2549">
        <f>W449+W455</f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5.9" hidden="1" customHeight="1" x14ac:dyDescent="0.25">
      <c r="A449" s="1504"/>
      <c r="B449" s="2251" t="s">
        <v>1027</v>
      </c>
      <c r="C449" s="1508"/>
      <c r="D449" s="1508"/>
      <c r="E449" s="1508"/>
      <c r="F449" s="2045" t="s">
        <v>1028</v>
      </c>
      <c r="G449" s="2046"/>
      <c r="H449" s="2046"/>
      <c r="I449" s="1508"/>
      <c r="J449" s="1087"/>
      <c r="K449" s="1064"/>
      <c r="L449" s="1064"/>
      <c r="M449" s="1563"/>
      <c r="N449" s="2520">
        <f t="shared" ref="N449:N453" si="223">N450</f>
        <v>0</v>
      </c>
      <c r="O449" s="2541"/>
      <c r="P449" s="2542"/>
      <c r="Q449" s="2589"/>
      <c r="R449" s="2544"/>
      <c r="S449" s="2514"/>
      <c r="T449" s="2514"/>
      <c r="U449" s="2514"/>
      <c r="V449" s="2520">
        <f t="shared" ref="V449:W453" si="224">V450</f>
        <v>0</v>
      </c>
      <c r="W449" s="2520">
        <f t="shared" si="224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83" customFormat="1" ht="26" hidden="1" x14ac:dyDescent="0.3">
      <c r="A450" s="1505"/>
      <c r="B450" s="2067" t="s">
        <v>1145</v>
      </c>
      <c r="C450" s="1508"/>
      <c r="D450" s="1508"/>
      <c r="E450" s="1508"/>
      <c r="F450" s="2045" t="s">
        <v>1144</v>
      </c>
      <c r="G450" s="2046"/>
      <c r="H450" s="2046"/>
      <c r="I450" s="1508"/>
      <c r="J450" s="1087"/>
      <c r="K450" s="1064"/>
      <c r="L450" s="1064"/>
      <c r="M450" s="1563"/>
      <c r="N450" s="2520">
        <f t="shared" si="223"/>
        <v>0</v>
      </c>
      <c r="O450" s="2541"/>
      <c r="P450" s="2542"/>
      <c r="Q450" s="2589"/>
      <c r="R450" s="2544"/>
      <c r="S450" s="2514"/>
      <c r="T450" s="2514"/>
      <c r="U450" s="2514"/>
      <c r="V450" s="2520">
        <f t="shared" si="224"/>
        <v>0</v>
      </c>
      <c r="W450" s="2520">
        <f t="shared" si="224"/>
        <v>0</v>
      </c>
      <c r="X450" s="84"/>
      <c r="Z450" s="2141"/>
    </row>
    <row r="451" spans="1:256" s="83" customFormat="1" ht="39" hidden="1" x14ac:dyDescent="0.3">
      <c r="A451" s="1505"/>
      <c r="B451" s="2067" t="s">
        <v>1146</v>
      </c>
      <c r="C451" s="1508"/>
      <c r="D451" s="1508"/>
      <c r="E451" s="1508"/>
      <c r="F451" s="532" t="s">
        <v>1142</v>
      </c>
      <c r="G451" s="2046"/>
      <c r="H451" s="2046"/>
      <c r="I451" s="1508"/>
      <c r="J451" s="1087"/>
      <c r="K451" s="1064"/>
      <c r="L451" s="1064"/>
      <c r="M451" s="1563"/>
      <c r="N451" s="2520">
        <f t="shared" si="223"/>
        <v>0</v>
      </c>
      <c r="O451" s="2541"/>
      <c r="P451" s="2542"/>
      <c r="Q451" s="2589"/>
      <c r="R451" s="2544"/>
      <c r="S451" s="2514"/>
      <c r="T451" s="2514"/>
      <c r="U451" s="2514"/>
      <c r="V451" s="2520">
        <f t="shared" si="224"/>
        <v>0</v>
      </c>
      <c r="W451" s="2520">
        <f t="shared" si="224"/>
        <v>0</v>
      </c>
      <c r="X451" s="84"/>
      <c r="Z451" s="2141"/>
    </row>
    <row r="452" spans="1:256" s="83" customFormat="1" ht="26" hidden="1" x14ac:dyDescent="0.3">
      <c r="A452" s="1505"/>
      <c r="B452" s="724" t="s">
        <v>948</v>
      </c>
      <c r="C452" s="1508"/>
      <c r="D452" s="1508"/>
      <c r="E452" s="1508"/>
      <c r="F452" s="532" t="s">
        <v>1142</v>
      </c>
      <c r="G452" s="2045" t="s">
        <v>955</v>
      </c>
      <c r="H452" s="2045"/>
      <c r="I452" s="1508"/>
      <c r="J452" s="1087"/>
      <c r="K452" s="1064"/>
      <c r="L452" s="1064"/>
      <c r="M452" s="1563"/>
      <c r="N452" s="2520">
        <f t="shared" si="223"/>
        <v>0</v>
      </c>
      <c r="O452" s="2541"/>
      <c r="P452" s="2542"/>
      <c r="Q452" s="2589"/>
      <c r="R452" s="2544"/>
      <c r="S452" s="2514"/>
      <c r="T452" s="2514"/>
      <c r="U452" s="2514"/>
      <c r="V452" s="2520">
        <f t="shared" si="224"/>
        <v>0</v>
      </c>
      <c r="W452" s="2520">
        <f t="shared" si="224"/>
        <v>0</v>
      </c>
      <c r="X452" s="84"/>
      <c r="Z452" s="2141"/>
    </row>
    <row r="453" spans="1:256" s="83" customFormat="1" ht="26" hidden="1" x14ac:dyDescent="0.3">
      <c r="A453" s="1505"/>
      <c r="B453" s="1544" t="s">
        <v>454</v>
      </c>
      <c r="C453" s="1508"/>
      <c r="D453" s="1508"/>
      <c r="E453" s="1508"/>
      <c r="F453" s="532" t="s">
        <v>1142</v>
      </c>
      <c r="G453" s="2045" t="s">
        <v>1</v>
      </c>
      <c r="H453" s="2045"/>
      <c r="I453" s="1508"/>
      <c r="J453" s="1087"/>
      <c r="K453" s="1064"/>
      <c r="L453" s="1064"/>
      <c r="M453" s="1563"/>
      <c r="N453" s="2520">
        <f t="shared" si="223"/>
        <v>0</v>
      </c>
      <c r="O453" s="2541"/>
      <c r="P453" s="2542"/>
      <c r="Q453" s="2589"/>
      <c r="R453" s="2544"/>
      <c r="S453" s="2514"/>
      <c r="T453" s="2514"/>
      <c r="U453" s="2514"/>
      <c r="V453" s="2520">
        <f>V454</f>
        <v>0</v>
      </c>
      <c r="W453" s="2520">
        <f t="shared" si="224"/>
        <v>0</v>
      </c>
      <c r="X453" s="84"/>
      <c r="Z453" s="2141"/>
    </row>
    <row r="454" spans="1:256" s="83" customFormat="1" ht="42.65" hidden="1" customHeight="1" x14ac:dyDescent="0.3">
      <c r="A454" s="1505"/>
      <c r="B454" s="744" t="s">
        <v>34</v>
      </c>
      <c r="C454" s="1508"/>
      <c r="D454" s="1508"/>
      <c r="E454" s="1508"/>
      <c r="F454" s="532" t="s">
        <v>1142</v>
      </c>
      <c r="G454" s="2045" t="s">
        <v>1</v>
      </c>
      <c r="H454" s="2045" t="s">
        <v>463</v>
      </c>
      <c r="I454" s="1508" t="s">
        <v>495</v>
      </c>
      <c r="J454" s="1087"/>
      <c r="K454" s="1064"/>
      <c r="L454" s="1064"/>
      <c r="M454" s="1563"/>
      <c r="N454" s="2520">
        <f>4129.999-1.562-777.778-362.241-1200-1788.418</f>
        <v>0</v>
      </c>
      <c r="O454" s="2541"/>
      <c r="P454" s="2542"/>
      <c r="Q454" s="2589"/>
      <c r="R454" s="2544"/>
      <c r="S454" s="2514"/>
      <c r="T454" s="2514"/>
      <c r="U454" s="2514"/>
      <c r="V454" s="2520">
        <f>4129.999-1.562-777.778-362.241-1200-1788.418</f>
        <v>0</v>
      </c>
      <c r="W454" s="2520"/>
      <c r="X454" s="84"/>
      <c r="Z454" s="2141"/>
    </row>
    <row r="455" spans="1:256" s="83" customFormat="1" ht="13" hidden="1" x14ac:dyDescent="0.3">
      <c r="A455" s="1505"/>
      <c r="B455" s="2237" t="s">
        <v>1044</v>
      </c>
      <c r="C455" s="1508"/>
      <c r="D455" s="1508"/>
      <c r="E455" s="1508"/>
      <c r="F455" s="532" t="s">
        <v>1043</v>
      </c>
      <c r="G455" s="2046" t="s">
        <v>1</v>
      </c>
      <c r="H455" s="2046" t="s">
        <v>463</v>
      </c>
      <c r="I455" s="1508" t="s">
        <v>495</v>
      </c>
      <c r="J455" s="1087"/>
      <c r="K455" s="1064"/>
      <c r="L455" s="1064"/>
      <c r="M455" s="1563"/>
      <c r="N455" s="2520"/>
      <c r="O455" s="2541"/>
      <c r="P455" s="2542"/>
      <c r="Q455" s="2589"/>
      <c r="R455" s="2544"/>
      <c r="S455" s="2514"/>
      <c r="T455" s="2514"/>
      <c r="U455" s="2514"/>
      <c r="V455" s="2520"/>
      <c r="W455" s="2520"/>
      <c r="X455" s="84"/>
      <c r="Z455" s="2141"/>
    </row>
    <row r="456" spans="1:256" s="83" customFormat="1" ht="39" x14ac:dyDescent="0.3">
      <c r="A456" s="1504">
        <v>13</v>
      </c>
      <c r="B456" s="2151" t="s">
        <v>1212</v>
      </c>
      <c r="C456" s="1508"/>
      <c r="D456" s="1508"/>
      <c r="E456" s="1508"/>
      <c r="F456" s="2048" t="s">
        <v>1162</v>
      </c>
      <c r="G456" s="2046"/>
      <c r="H456" s="2046"/>
      <c r="I456" s="1508"/>
      <c r="J456" s="1087"/>
      <c r="K456" s="1064"/>
      <c r="L456" s="1064"/>
      <c r="M456" s="1563"/>
      <c r="N456" s="2549">
        <f t="shared" ref="N456:N461" si="225">N457</f>
        <v>2960.0099999999998</v>
      </c>
      <c r="O456" s="2550"/>
      <c r="P456" s="2551"/>
      <c r="Q456" s="2919"/>
      <c r="R456" s="2553"/>
      <c r="S456" s="2920"/>
      <c r="T456" s="2920"/>
      <c r="U456" s="2920"/>
      <c r="V456" s="2549">
        <f>V462+V472</f>
        <v>17000</v>
      </c>
      <c r="W456" s="2549">
        <f>W462+W472</f>
        <v>0</v>
      </c>
      <c r="X456" s="84"/>
      <c r="Z456" s="2141"/>
    </row>
    <row r="457" spans="1:256" s="83" customFormat="1" ht="26" x14ac:dyDescent="0.3">
      <c r="A457" s="1505"/>
      <c r="B457" s="2067" t="s">
        <v>1166</v>
      </c>
      <c r="C457" s="1508"/>
      <c r="D457" s="1508"/>
      <c r="E457" s="1508"/>
      <c r="F457" s="2045" t="s">
        <v>1163</v>
      </c>
      <c r="G457" s="2046"/>
      <c r="H457" s="2046"/>
      <c r="I457" s="1508"/>
      <c r="J457" s="1087"/>
      <c r="K457" s="1064"/>
      <c r="L457" s="1064"/>
      <c r="M457" s="1563"/>
      <c r="N457" s="2520">
        <f t="shared" si="225"/>
        <v>2960.0099999999998</v>
      </c>
      <c r="O457" s="2541"/>
      <c r="P457" s="2542"/>
      <c r="Q457" s="2589"/>
      <c r="R457" s="2544"/>
      <c r="S457" s="2590"/>
      <c r="T457" s="2590"/>
      <c r="U457" s="2590"/>
      <c r="V457" s="2520">
        <f t="shared" ref="V457:W461" si="226">V458</f>
        <v>0</v>
      </c>
      <c r="W457" s="2520">
        <f t="shared" si="226"/>
        <v>0</v>
      </c>
      <c r="X457" s="84"/>
      <c r="Z457" s="2141"/>
    </row>
    <row r="458" spans="1:256" s="83" customFormat="1" ht="26" x14ac:dyDescent="0.3">
      <c r="A458" s="1505"/>
      <c r="B458" s="2067" t="s">
        <v>1167</v>
      </c>
      <c r="C458" s="1508"/>
      <c r="D458" s="1508"/>
      <c r="E458" s="1508"/>
      <c r="F458" s="2045" t="s">
        <v>1164</v>
      </c>
      <c r="G458" s="2046"/>
      <c r="H458" s="2046"/>
      <c r="I458" s="1508"/>
      <c r="J458" s="1087"/>
      <c r="K458" s="1064"/>
      <c r="L458" s="1064"/>
      <c r="M458" s="1563"/>
      <c r="N458" s="2520">
        <f>N459+N466</f>
        <v>2960.0099999999998</v>
      </c>
      <c r="O458" s="2541"/>
      <c r="P458" s="2542"/>
      <c r="Q458" s="2589"/>
      <c r="R458" s="2544"/>
      <c r="S458" s="2590"/>
      <c r="T458" s="2590"/>
      <c r="U458" s="2590"/>
      <c r="V458" s="2520">
        <f>V459+V466</f>
        <v>0</v>
      </c>
      <c r="W458" s="2520">
        <f>W459+W466</f>
        <v>0</v>
      </c>
      <c r="X458" s="84"/>
      <c r="Z458" s="2141"/>
    </row>
    <row r="459" spans="1:256" s="83" customFormat="1" ht="13" x14ac:dyDescent="0.3">
      <c r="A459" s="1505"/>
      <c r="B459" s="2067" t="s">
        <v>1168</v>
      </c>
      <c r="C459" s="1508"/>
      <c r="D459" s="1508"/>
      <c r="E459" s="1508"/>
      <c r="F459" s="2045" t="s">
        <v>1165</v>
      </c>
      <c r="G459" s="2046"/>
      <c r="H459" s="2046"/>
      <c r="I459" s="1508"/>
      <c r="J459" s="1087"/>
      <c r="K459" s="1064"/>
      <c r="L459" s="1064"/>
      <c r="M459" s="1563"/>
      <c r="N459" s="2520">
        <f t="shared" si="225"/>
        <v>2615.0727999999999</v>
      </c>
      <c r="O459" s="2541"/>
      <c r="P459" s="2542"/>
      <c r="Q459" s="2589"/>
      <c r="R459" s="2544"/>
      <c r="S459" s="2590"/>
      <c r="T459" s="2590"/>
      <c r="U459" s="2590"/>
      <c r="V459" s="2520">
        <f t="shared" si="226"/>
        <v>0</v>
      </c>
      <c r="W459" s="2520">
        <f t="shared" si="226"/>
        <v>0</v>
      </c>
      <c r="X459" s="84"/>
      <c r="Z459" s="2141"/>
    </row>
    <row r="460" spans="1:256" s="83" customFormat="1" ht="26" x14ac:dyDescent="0.3">
      <c r="A460" s="1505"/>
      <c r="B460" s="724" t="s">
        <v>948</v>
      </c>
      <c r="C460" s="1508"/>
      <c r="D460" s="1508"/>
      <c r="E460" s="1508"/>
      <c r="F460" s="2045" t="s">
        <v>1165</v>
      </c>
      <c r="G460" s="2045" t="s">
        <v>955</v>
      </c>
      <c r="H460" s="2045"/>
      <c r="I460" s="1508"/>
      <c r="J460" s="1087"/>
      <c r="K460" s="1064"/>
      <c r="L460" s="1064"/>
      <c r="M460" s="1563"/>
      <c r="N460" s="2520">
        <f t="shared" si="225"/>
        <v>2615.0727999999999</v>
      </c>
      <c r="O460" s="2541"/>
      <c r="P460" s="2542"/>
      <c r="Q460" s="2589"/>
      <c r="R460" s="2544"/>
      <c r="S460" s="2590"/>
      <c r="T460" s="2590"/>
      <c r="U460" s="2590"/>
      <c r="V460" s="2520">
        <f t="shared" si="226"/>
        <v>0</v>
      </c>
      <c r="W460" s="2520">
        <f t="shared" si="226"/>
        <v>0</v>
      </c>
      <c r="X460" s="84"/>
      <c r="Z460" s="2141"/>
    </row>
    <row r="461" spans="1:256" s="83" customFormat="1" ht="26" x14ac:dyDescent="0.3">
      <c r="A461" s="1505"/>
      <c r="B461" s="1544" t="s">
        <v>454</v>
      </c>
      <c r="C461" s="1508"/>
      <c r="D461" s="1508"/>
      <c r="E461" s="1508"/>
      <c r="F461" s="2045" t="s">
        <v>1165</v>
      </c>
      <c r="G461" s="2045" t="s">
        <v>1</v>
      </c>
      <c r="H461" s="2045"/>
      <c r="I461" s="1508"/>
      <c r="J461" s="1087"/>
      <c r="K461" s="1064"/>
      <c r="L461" s="1064"/>
      <c r="M461" s="1563"/>
      <c r="N461" s="2520">
        <f t="shared" si="225"/>
        <v>2615.0727999999999</v>
      </c>
      <c r="O461" s="2541"/>
      <c r="P461" s="2542"/>
      <c r="Q461" s="2589"/>
      <c r="R461" s="2544"/>
      <c r="S461" s="2590"/>
      <c r="T461" s="2590"/>
      <c r="U461" s="2590"/>
      <c r="V461" s="2520">
        <f t="shared" si="226"/>
        <v>0</v>
      </c>
      <c r="W461" s="2520">
        <f t="shared" si="226"/>
        <v>0</v>
      </c>
      <c r="X461" s="84"/>
      <c r="Z461" s="2141"/>
    </row>
    <row r="462" spans="1:256" s="83" customFormat="1" ht="37.5" customHeight="1" x14ac:dyDescent="0.3">
      <c r="A462" s="1505"/>
      <c r="B462" s="534" t="s">
        <v>34</v>
      </c>
      <c r="C462" s="1508"/>
      <c r="D462" s="1508"/>
      <c r="E462" s="1508"/>
      <c r="F462" s="2045" t="s">
        <v>1165</v>
      </c>
      <c r="G462" s="2045" t="s">
        <v>1</v>
      </c>
      <c r="H462" s="2045" t="s">
        <v>463</v>
      </c>
      <c r="I462" s="1508" t="s">
        <v>495</v>
      </c>
      <c r="J462" s="1087"/>
      <c r="K462" s="1064"/>
      <c r="L462" s="1064"/>
      <c r="M462" s="1563"/>
      <c r="N462" s="2904">
        <f>2615.073-0.0002+344.9372-344.9372</f>
        <v>2615.0727999999999</v>
      </c>
      <c r="O462" s="2754"/>
      <c r="P462" s="2755"/>
      <c r="Q462" s="2905"/>
      <c r="R462" s="2906"/>
      <c r="S462" s="2907"/>
      <c r="T462" s="2907"/>
      <c r="U462" s="2907"/>
      <c r="V462" s="2904">
        <v>0</v>
      </c>
      <c r="W462" s="2904">
        <v>0</v>
      </c>
      <c r="X462" s="84"/>
      <c r="Z462" s="2141"/>
    </row>
    <row r="463" spans="1:256" s="83" customFormat="1" ht="37.5" customHeight="1" x14ac:dyDescent="0.3">
      <c r="A463" s="1505"/>
      <c r="B463" s="2067" t="s">
        <v>1168</v>
      </c>
      <c r="C463" s="1508"/>
      <c r="D463" s="1508"/>
      <c r="E463" s="1508"/>
      <c r="F463" s="2045" t="s">
        <v>1242</v>
      </c>
      <c r="G463" s="2045"/>
      <c r="H463" s="2045"/>
      <c r="I463" s="1508"/>
      <c r="J463" s="1087"/>
      <c r="K463" s="1064"/>
      <c r="L463" s="1064"/>
      <c r="M463" s="1563"/>
      <c r="N463" s="2904">
        <f>N464</f>
        <v>344.93720000000002</v>
      </c>
      <c r="O463" s="2754"/>
      <c r="P463" s="2755"/>
      <c r="Q463" s="2905"/>
      <c r="R463" s="2906"/>
      <c r="S463" s="2907"/>
      <c r="T463" s="2907"/>
      <c r="U463" s="2907"/>
      <c r="V463" s="2904">
        <f t="shared" ref="V463:W465" si="227">V464</f>
        <v>0</v>
      </c>
      <c r="W463" s="2904">
        <f t="shared" si="227"/>
        <v>0</v>
      </c>
      <c r="X463" s="84"/>
      <c r="Z463" s="2141"/>
    </row>
    <row r="464" spans="1:256" s="83" customFormat="1" ht="37.5" customHeight="1" x14ac:dyDescent="0.3">
      <c r="A464" s="1505"/>
      <c r="B464" s="724" t="s">
        <v>948</v>
      </c>
      <c r="C464" s="1508"/>
      <c r="D464" s="1508"/>
      <c r="E464" s="1508"/>
      <c r="F464" s="2045" t="s">
        <v>1242</v>
      </c>
      <c r="G464" s="2045" t="s">
        <v>955</v>
      </c>
      <c r="H464" s="2045"/>
      <c r="I464" s="1508"/>
      <c r="J464" s="1087"/>
      <c r="K464" s="1064"/>
      <c r="L464" s="1064"/>
      <c r="M464" s="1563"/>
      <c r="N464" s="2904">
        <f>N465</f>
        <v>344.93720000000002</v>
      </c>
      <c r="O464" s="2754"/>
      <c r="P464" s="2755"/>
      <c r="Q464" s="2905"/>
      <c r="R464" s="2906"/>
      <c r="S464" s="2907"/>
      <c r="T464" s="2907"/>
      <c r="U464" s="2907"/>
      <c r="V464" s="2904">
        <f t="shared" si="227"/>
        <v>0</v>
      </c>
      <c r="W464" s="2904">
        <f t="shared" si="227"/>
        <v>0</v>
      </c>
      <c r="X464" s="84"/>
      <c r="Z464" s="2141"/>
    </row>
    <row r="465" spans="1:26" s="83" customFormat="1" ht="37.5" customHeight="1" x14ac:dyDescent="0.3">
      <c r="A465" s="1505"/>
      <c r="B465" s="1544" t="s">
        <v>454</v>
      </c>
      <c r="C465" s="1508"/>
      <c r="D465" s="1508"/>
      <c r="E465" s="1508"/>
      <c r="F465" s="2045" t="s">
        <v>1242</v>
      </c>
      <c r="G465" s="2045" t="s">
        <v>1</v>
      </c>
      <c r="H465" s="2045"/>
      <c r="I465" s="1508"/>
      <c r="J465" s="1087"/>
      <c r="K465" s="1064"/>
      <c r="L465" s="1064"/>
      <c r="M465" s="1563"/>
      <c r="N465" s="2904">
        <f>N466</f>
        <v>344.93720000000002</v>
      </c>
      <c r="O465" s="2754"/>
      <c r="P465" s="2755"/>
      <c r="Q465" s="2905"/>
      <c r="R465" s="2906"/>
      <c r="S465" s="2907"/>
      <c r="T465" s="2907"/>
      <c r="U465" s="2907"/>
      <c r="V465" s="2904">
        <f t="shared" si="227"/>
        <v>0</v>
      </c>
      <c r="W465" s="2904">
        <f t="shared" si="227"/>
        <v>0</v>
      </c>
      <c r="X465" s="84"/>
      <c r="Z465" s="2141"/>
    </row>
    <row r="466" spans="1:26" s="83" customFormat="1" ht="37.5" customHeight="1" x14ac:dyDescent="0.3">
      <c r="A466" s="1505"/>
      <c r="B466" s="534" t="s">
        <v>34</v>
      </c>
      <c r="C466" s="1508"/>
      <c r="D466" s="1508"/>
      <c r="E466" s="1508"/>
      <c r="F466" s="2045" t="s">
        <v>1242</v>
      </c>
      <c r="G466" s="2045" t="s">
        <v>1</v>
      </c>
      <c r="H466" s="2045" t="s">
        <v>463</v>
      </c>
      <c r="I466" s="1508" t="s">
        <v>495</v>
      </c>
      <c r="J466" s="1087"/>
      <c r="K466" s="1064"/>
      <c r="L466" s="1064"/>
      <c r="M466" s="1563"/>
      <c r="N466" s="2904">
        <v>344.93720000000002</v>
      </c>
      <c r="O466" s="2754"/>
      <c r="P466" s="2755"/>
      <c r="Q466" s="2905"/>
      <c r="R466" s="2906"/>
      <c r="S466" s="2907"/>
      <c r="T466" s="2907"/>
      <c r="U466" s="2907"/>
      <c r="V466" s="2904">
        <v>0</v>
      </c>
      <c r="W466" s="2904">
        <v>0</v>
      </c>
      <c r="X466" s="84"/>
      <c r="Z466" s="2141"/>
    </row>
    <row r="467" spans="1:26" s="83" customFormat="1" ht="37.5" customHeight="1" x14ac:dyDescent="0.3">
      <c r="A467" s="1505"/>
      <c r="B467" s="2067" t="s">
        <v>1187</v>
      </c>
      <c r="C467" s="1508"/>
      <c r="D467" s="1508"/>
      <c r="E467" s="1508"/>
      <c r="F467" s="2045" t="s">
        <v>1170</v>
      </c>
      <c r="G467" s="2045"/>
      <c r="H467" s="2045"/>
      <c r="I467" s="1508"/>
      <c r="J467" s="1087"/>
      <c r="K467" s="1064"/>
      <c r="L467" s="1064"/>
      <c r="M467" s="1563"/>
      <c r="N467" s="2904">
        <f>N468</f>
        <v>0</v>
      </c>
      <c r="O467" s="2754"/>
      <c r="P467" s="2755"/>
      <c r="Q467" s="2905"/>
      <c r="R467" s="2906"/>
      <c r="S467" s="2907"/>
      <c r="T467" s="2907"/>
      <c r="U467" s="2907"/>
      <c r="V467" s="2904">
        <f t="shared" ref="V467:W471" si="228">V468</f>
        <v>17000</v>
      </c>
      <c r="W467" s="2904">
        <f t="shared" si="228"/>
        <v>0</v>
      </c>
      <c r="X467" s="84"/>
      <c r="Z467" s="2141"/>
    </row>
    <row r="468" spans="1:26" s="83" customFormat="1" ht="37.5" customHeight="1" x14ac:dyDescent="0.3">
      <c r="A468" s="1505"/>
      <c r="B468" s="2067" t="s">
        <v>1188</v>
      </c>
      <c r="C468" s="1508"/>
      <c r="D468" s="1508"/>
      <c r="E468" s="1508"/>
      <c r="F468" s="2045" t="s">
        <v>1171</v>
      </c>
      <c r="G468" s="2045"/>
      <c r="H468" s="2045"/>
      <c r="I468" s="1508"/>
      <c r="J468" s="1087"/>
      <c r="K468" s="1064"/>
      <c r="L468" s="1064"/>
      <c r="M468" s="1563"/>
      <c r="N468" s="2904">
        <f>N469</f>
        <v>0</v>
      </c>
      <c r="O468" s="2754"/>
      <c r="P468" s="2755"/>
      <c r="Q468" s="2905"/>
      <c r="R468" s="2906"/>
      <c r="S468" s="2907"/>
      <c r="T468" s="2907"/>
      <c r="U468" s="2907"/>
      <c r="V468" s="2904">
        <f t="shared" si="228"/>
        <v>17000</v>
      </c>
      <c r="W468" s="2904">
        <f t="shared" si="228"/>
        <v>0</v>
      </c>
      <c r="X468" s="84"/>
      <c r="Z468" s="2141"/>
    </row>
    <row r="469" spans="1:26" s="83" customFormat="1" ht="37.5" customHeight="1" x14ac:dyDescent="0.3">
      <c r="A469" s="1505"/>
      <c r="B469" s="534" t="s">
        <v>1172</v>
      </c>
      <c r="C469" s="1508"/>
      <c r="D469" s="1508"/>
      <c r="E469" s="1508"/>
      <c r="F469" s="2045" t="s">
        <v>1241</v>
      </c>
      <c r="G469" s="2045"/>
      <c r="H469" s="2045"/>
      <c r="I469" s="1508"/>
      <c r="J469" s="1087"/>
      <c r="K469" s="1064"/>
      <c r="L469" s="1064"/>
      <c r="M469" s="1563"/>
      <c r="N469" s="2904">
        <f>N470</f>
        <v>0</v>
      </c>
      <c r="O469" s="2754"/>
      <c r="P469" s="2755"/>
      <c r="Q469" s="2905"/>
      <c r="R469" s="2906"/>
      <c r="S469" s="2907"/>
      <c r="T469" s="2907"/>
      <c r="U469" s="2907"/>
      <c r="V469" s="2904">
        <f t="shared" si="228"/>
        <v>17000</v>
      </c>
      <c r="W469" s="2904">
        <f t="shared" si="228"/>
        <v>0</v>
      </c>
      <c r="X469" s="84"/>
      <c r="Z469" s="2141"/>
    </row>
    <row r="470" spans="1:26" s="83" customFormat="1" ht="37.5" customHeight="1" x14ac:dyDescent="0.3">
      <c r="A470" s="1505"/>
      <c r="B470" s="2332" t="s">
        <v>1061</v>
      </c>
      <c r="C470" s="1508"/>
      <c r="D470" s="1508"/>
      <c r="E470" s="1508"/>
      <c r="F470" s="2045" t="s">
        <v>1241</v>
      </c>
      <c r="G470" s="9" t="s">
        <v>1060</v>
      </c>
      <c r="H470" s="2045"/>
      <c r="I470" s="1508"/>
      <c r="J470" s="1087"/>
      <c r="K470" s="1064"/>
      <c r="L470" s="1064"/>
      <c r="M470" s="1563"/>
      <c r="N470" s="2904">
        <f>N471</f>
        <v>0</v>
      </c>
      <c r="O470" s="2754"/>
      <c r="P470" s="2755"/>
      <c r="Q470" s="2905"/>
      <c r="R470" s="2906"/>
      <c r="S470" s="2907"/>
      <c r="T470" s="2907"/>
      <c r="U470" s="2907"/>
      <c r="V470" s="2904">
        <f t="shared" si="228"/>
        <v>17000</v>
      </c>
      <c r="W470" s="2904">
        <f t="shared" si="228"/>
        <v>0</v>
      </c>
      <c r="X470" s="84"/>
      <c r="Z470" s="2141"/>
    </row>
    <row r="471" spans="1:26" s="83" customFormat="1" ht="37.5" customHeight="1" x14ac:dyDescent="0.3">
      <c r="A471" s="1505"/>
      <c r="B471" s="58" t="s">
        <v>28</v>
      </c>
      <c r="C471" s="1508"/>
      <c r="D471" s="1508"/>
      <c r="E471" s="1508"/>
      <c r="F471" s="2045" t="s">
        <v>1241</v>
      </c>
      <c r="G471" s="9" t="s">
        <v>26</v>
      </c>
      <c r="H471" s="2045"/>
      <c r="I471" s="1508"/>
      <c r="J471" s="1087"/>
      <c r="K471" s="1064"/>
      <c r="L471" s="1064"/>
      <c r="M471" s="1563"/>
      <c r="N471" s="2904">
        <f>N472</f>
        <v>0</v>
      </c>
      <c r="O471" s="2754"/>
      <c r="P471" s="2755"/>
      <c r="Q471" s="2905"/>
      <c r="R471" s="2906"/>
      <c r="S471" s="2907"/>
      <c r="T471" s="2907"/>
      <c r="U471" s="2907"/>
      <c r="V471" s="2904">
        <f t="shared" si="228"/>
        <v>17000</v>
      </c>
      <c r="W471" s="2904">
        <f t="shared" si="228"/>
        <v>0</v>
      </c>
      <c r="X471" s="84"/>
      <c r="Z471" s="2141"/>
    </row>
    <row r="472" spans="1:26" s="83" customFormat="1" ht="37.5" customHeight="1" x14ac:dyDescent="0.3">
      <c r="A472" s="1505"/>
      <c r="B472" s="534" t="s">
        <v>34</v>
      </c>
      <c r="C472" s="1508"/>
      <c r="D472" s="1508"/>
      <c r="E472" s="1508"/>
      <c r="F472" s="2045" t="s">
        <v>1241</v>
      </c>
      <c r="G472" s="9" t="s">
        <v>26</v>
      </c>
      <c r="H472" s="2045" t="s">
        <v>463</v>
      </c>
      <c r="I472" s="1508" t="s">
        <v>495</v>
      </c>
      <c r="J472" s="1087"/>
      <c r="K472" s="1064"/>
      <c r="L472" s="1064"/>
      <c r="M472" s="1563"/>
      <c r="N472" s="2904">
        <v>0</v>
      </c>
      <c r="O472" s="2754"/>
      <c r="P472" s="2755"/>
      <c r="Q472" s="2905"/>
      <c r="R472" s="2906"/>
      <c r="S472" s="2907"/>
      <c r="T472" s="2907"/>
      <c r="U472" s="2907"/>
      <c r="V472" s="2904">
        <v>17000</v>
      </c>
      <c r="W472" s="2904">
        <v>0</v>
      </c>
      <c r="X472" s="84"/>
      <c r="Z472" s="2141"/>
    </row>
    <row r="473" spans="1:26" s="83" customFormat="1" ht="37.5" customHeight="1" x14ac:dyDescent="0.3">
      <c r="A473" s="32"/>
      <c r="B473" s="1979" t="s">
        <v>158</v>
      </c>
      <c r="C473" s="34"/>
      <c r="D473" s="88"/>
      <c r="E473" s="9"/>
      <c r="F473" s="9"/>
      <c r="G473" s="9"/>
      <c r="H473" s="9"/>
      <c r="I473" s="9"/>
      <c r="J473" s="1111">
        <f>J474+J565+J582</f>
        <v>47038.588000000003</v>
      </c>
      <c r="K473" s="1065"/>
      <c r="L473" s="1064">
        <f t="shared" ref="L473:R473" si="229">L474+L565+L582</f>
        <v>28148.264999999999</v>
      </c>
      <c r="M473" s="1563">
        <f t="shared" si="229"/>
        <v>29104.548000000003</v>
      </c>
      <c r="N473" s="2956">
        <f t="shared" si="229"/>
        <v>44309.325960000002</v>
      </c>
      <c r="O473" s="2908">
        <f t="shared" si="229"/>
        <v>22421.825000000004</v>
      </c>
      <c r="P473" s="2909">
        <f t="shared" si="229"/>
        <v>23877.43</v>
      </c>
      <c r="Q473" s="2910">
        <f t="shared" si="229"/>
        <v>30018.576999999997</v>
      </c>
      <c r="R473" s="2911">
        <f t="shared" si="229"/>
        <v>30189.748999999996</v>
      </c>
      <c r="S473" s="2692"/>
      <c r="T473" s="2692"/>
      <c r="U473" s="2692"/>
      <c r="V473" s="2956">
        <f>V474+V565+V582</f>
        <v>29301.156340000001</v>
      </c>
      <c r="W473" s="2956">
        <f>W474+W565+W582</f>
        <v>44907.073499999999</v>
      </c>
      <c r="X473" s="84"/>
      <c r="Z473" s="2141"/>
    </row>
    <row r="474" spans="1:26" s="83" customFormat="1" ht="39" x14ac:dyDescent="0.3">
      <c r="A474" s="91"/>
      <c r="B474" s="126" t="s">
        <v>126</v>
      </c>
      <c r="C474" s="118"/>
      <c r="D474" s="89" t="s">
        <v>69</v>
      </c>
      <c r="E474" s="89" t="s">
        <v>112</v>
      </c>
      <c r="F474" s="113" t="s">
        <v>157</v>
      </c>
      <c r="G474" s="118"/>
      <c r="H474" s="118"/>
      <c r="I474" s="89"/>
      <c r="J474" s="1113">
        <f>J482+J559+J528+J531+J535+J543+J539</f>
        <v>14363.046000000004</v>
      </c>
      <c r="K474" s="1059"/>
      <c r="L474" s="1059">
        <f>L482+L525+L528+L531+L535+L543+L551</f>
        <v>14872.082</v>
      </c>
      <c r="M474" s="1551">
        <f>M482+M525+M528+M531+M535+M543+M551</f>
        <v>15828.365000000002</v>
      </c>
      <c r="N474" s="2957">
        <f>N475+N481+N559</f>
        <v>25630.519490000002</v>
      </c>
      <c r="O474" s="2912">
        <f>O486+O488+O492+O496+O511+O515+O522+O542+O545+O548+O564+O554</f>
        <v>17791.410000000003</v>
      </c>
      <c r="P474" s="2913">
        <f>P486+P488+P492+P496+P511+P515+P522+P542+P545+P548+P564+P554</f>
        <v>18871.780000000002</v>
      </c>
      <c r="Q474" s="2914">
        <f>Q475+Q481+Q559</f>
        <v>21581.35</v>
      </c>
      <c r="R474" s="2915">
        <f>R475+R481+R559</f>
        <v>22370.437999999998</v>
      </c>
      <c r="S474" s="2916"/>
      <c r="T474" s="2916"/>
      <c r="U474" s="2916"/>
      <c r="V474" s="2957">
        <f>V475+V481+V559</f>
        <v>25689.491000000002</v>
      </c>
      <c r="W474" s="2957">
        <f>W475+W481+W559</f>
        <v>25977.195000000003</v>
      </c>
      <c r="X474" s="84"/>
      <c r="Z474" s="2141"/>
    </row>
    <row r="475" spans="1:26" s="83" customFormat="1" ht="20" x14ac:dyDescent="0.3">
      <c r="A475" s="91"/>
      <c r="B475" s="285" t="s">
        <v>866</v>
      </c>
      <c r="C475" s="118"/>
      <c r="D475" s="89"/>
      <c r="E475" s="89"/>
      <c r="F475" s="112" t="s">
        <v>598</v>
      </c>
      <c r="G475" s="119"/>
      <c r="H475" s="119"/>
      <c r="I475" s="33"/>
      <c r="J475" s="1113"/>
      <c r="K475" s="1059"/>
      <c r="L475" s="1059"/>
      <c r="M475" s="1551"/>
      <c r="N475" s="2958">
        <f>N476</f>
        <v>1785.268</v>
      </c>
      <c r="O475" s="2912"/>
      <c r="P475" s="2913"/>
      <c r="Q475" s="2917">
        <f t="shared" ref="Q475:R479" si="230">Q476</f>
        <v>1764.761</v>
      </c>
      <c r="R475" s="2918">
        <f t="shared" si="230"/>
        <v>1832.232</v>
      </c>
      <c r="S475" s="2916"/>
      <c r="T475" s="2916"/>
      <c r="U475" s="2916"/>
      <c r="V475" s="2958">
        <f t="shared" ref="V475:W479" si="231">V476</f>
        <v>1856.6780000000001</v>
      </c>
      <c r="W475" s="2958">
        <f t="shared" si="231"/>
        <v>1930.9469999999999</v>
      </c>
      <c r="X475" s="84"/>
      <c r="Z475" s="2141"/>
    </row>
    <row r="476" spans="1:26" s="83" customFormat="1" ht="13" x14ac:dyDescent="0.3">
      <c r="A476" s="91"/>
      <c r="B476" s="285" t="s">
        <v>582</v>
      </c>
      <c r="C476" s="118"/>
      <c r="D476" s="89"/>
      <c r="E476" s="89"/>
      <c r="F476" s="112" t="s">
        <v>597</v>
      </c>
      <c r="G476" s="119"/>
      <c r="H476" s="119"/>
      <c r="I476" s="33"/>
      <c r="J476" s="1113"/>
      <c r="K476" s="1059"/>
      <c r="L476" s="1059"/>
      <c r="M476" s="1551"/>
      <c r="N476" s="2958">
        <f>N477</f>
        <v>1785.268</v>
      </c>
      <c r="O476" s="2912"/>
      <c r="P476" s="2913"/>
      <c r="Q476" s="2917">
        <f t="shared" si="230"/>
        <v>1764.761</v>
      </c>
      <c r="R476" s="2918">
        <f t="shared" si="230"/>
        <v>1832.232</v>
      </c>
      <c r="S476" s="2916"/>
      <c r="T476" s="2916"/>
      <c r="U476" s="2916"/>
      <c r="V476" s="2958">
        <f t="shared" si="231"/>
        <v>1856.6780000000001</v>
      </c>
      <c r="W476" s="2958">
        <f t="shared" si="231"/>
        <v>1930.9469999999999</v>
      </c>
      <c r="X476" s="84"/>
      <c r="Z476" s="2141"/>
    </row>
    <row r="477" spans="1:26" s="83" customFormat="1" ht="40.5" customHeight="1" x14ac:dyDescent="0.3">
      <c r="A477" s="91"/>
      <c r="B477" s="285" t="s">
        <v>867</v>
      </c>
      <c r="C477" s="118"/>
      <c r="D477" s="89"/>
      <c r="E477" s="89"/>
      <c r="F477" s="113" t="s">
        <v>593</v>
      </c>
      <c r="G477" s="119"/>
      <c r="H477" s="119"/>
      <c r="I477" s="33"/>
      <c r="J477" s="1113"/>
      <c r="K477" s="1059"/>
      <c r="L477" s="1059"/>
      <c r="M477" s="1551"/>
      <c r="N477" s="2957">
        <f>N479</f>
        <v>1785.268</v>
      </c>
      <c r="O477" s="2912"/>
      <c r="P477" s="2913"/>
      <c r="Q477" s="2914">
        <f>Q479</f>
        <v>1764.761</v>
      </c>
      <c r="R477" s="2915">
        <f>R479</f>
        <v>1832.232</v>
      </c>
      <c r="S477" s="2916"/>
      <c r="T477" s="2916"/>
      <c r="U477" s="2916"/>
      <c r="V477" s="2957">
        <f>V479</f>
        <v>1856.6780000000001</v>
      </c>
      <c r="W477" s="2957">
        <f>W479</f>
        <v>1930.9469999999999</v>
      </c>
      <c r="X477" s="84"/>
      <c r="Z477" s="2141"/>
    </row>
    <row r="478" spans="1:26" s="83" customFormat="1" ht="44.15" hidden="1" customHeight="1" x14ac:dyDescent="0.3">
      <c r="A478" s="91"/>
      <c r="B478" s="49" t="s">
        <v>1063</v>
      </c>
      <c r="C478" s="118"/>
      <c r="D478" s="89"/>
      <c r="E478" s="89"/>
      <c r="F478" s="112" t="s">
        <v>593</v>
      </c>
      <c r="G478" s="119">
        <v>100</v>
      </c>
      <c r="H478" s="119"/>
      <c r="I478" s="33"/>
      <c r="J478" s="1113"/>
      <c r="K478" s="1059"/>
      <c r="L478" s="1059"/>
      <c r="M478" s="1551"/>
      <c r="N478" s="2959">
        <f>N479</f>
        <v>1785.268</v>
      </c>
      <c r="O478" s="2594"/>
      <c r="P478" s="2595"/>
      <c r="Q478" s="2592"/>
      <c r="R478" s="2593"/>
      <c r="S478" s="2596"/>
      <c r="T478" s="2596"/>
      <c r="U478" s="2596"/>
      <c r="V478" s="2959">
        <f t="shared" ref="V478:W478" si="232">V479</f>
        <v>1856.6780000000001</v>
      </c>
      <c r="W478" s="2959">
        <f t="shared" si="232"/>
        <v>1930.9469999999999</v>
      </c>
      <c r="X478" s="84"/>
      <c r="Z478" s="2141"/>
    </row>
    <row r="479" spans="1:26" s="83" customFormat="1" ht="41.5" customHeight="1" x14ac:dyDescent="0.3">
      <c r="A479" s="91"/>
      <c r="B479" s="284" t="s">
        <v>571</v>
      </c>
      <c r="C479" s="118"/>
      <c r="D479" s="89"/>
      <c r="E479" s="89"/>
      <c r="F479" s="112" t="s">
        <v>593</v>
      </c>
      <c r="G479" s="119">
        <v>120</v>
      </c>
      <c r="H479" s="119"/>
      <c r="I479" s="33"/>
      <c r="J479" s="1113"/>
      <c r="K479" s="1059"/>
      <c r="L479" s="1059"/>
      <c r="M479" s="1551"/>
      <c r="N479" s="2597">
        <f>N480</f>
        <v>1785.268</v>
      </c>
      <c r="O479" s="2599"/>
      <c r="P479" s="2600"/>
      <c r="Q479" s="2512">
        <f t="shared" si="230"/>
        <v>1764.761</v>
      </c>
      <c r="R479" s="2513">
        <f t="shared" si="230"/>
        <v>1832.232</v>
      </c>
      <c r="S479" s="2545"/>
      <c r="T479" s="2545"/>
      <c r="U479" s="2545"/>
      <c r="V479" s="2597">
        <f t="shared" si="231"/>
        <v>1856.6780000000001</v>
      </c>
      <c r="W479" s="2597">
        <f t="shared" si="231"/>
        <v>1930.9469999999999</v>
      </c>
      <c r="X479" s="84"/>
      <c r="Z479" s="2141"/>
    </row>
    <row r="480" spans="1:26" s="83" customFormat="1" ht="41.5" customHeight="1" x14ac:dyDescent="0.3">
      <c r="A480" s="91"/>
      <c r="B480" s="285" t="s">
        <v>600</v>
      </c>
      <c r="C480" s="118"/>
      <c r="D480" s="89"/>
      <c r="E480" s="89"/>
      <c r="F480" s="112" t="s">
        <v>593</v>
      </c>
      <c r="G480" s="119">
        <v>120</v>
      </c>
      <c r="H480" s="9" t="s">
        <v>456</v>
      </c>
      <c r="I480" s="33" t="s">
        <v>488</v>
      </c>
      <c r="J480" s="1113"/>
      <c r="K480" s="1059"/>
      <c r="L480" s="1059"/>
      <c r="M480" s="1551"/>
      <c r="N480" s="2597">
        <v>1785.268</v>
      </c>
      <c r="O480" s="2599"/>
      <c r="P480" s="2600"/>
      <c r="Q480" s="2900">
        <v>1764.761</v>
      </c>
      <c r="R480" s="2901">
        <v>1832.232</v>
      </c>
      <c r="S480" s="2545"/>
      <c r="T480" s="2545"/>
      <c r="U480" s="2545"/>
      <c r="V480" s="2597">
        <v>1856.6780000000001</v>
      </c>
      <c r="W480" s="2597">
        <v>1930.9469999999999</v>
      </c>
      <c r="X480" s="84"/>
      <c r="Z480" s="2141"/>
    </row>
    <row r="481" spans="1:26" ht="41.5" customHeight="1" x14ac:dyDescent="0.3">
      <c r="A481" s="91"/>
      <c r="B481" s="1093" t="s">
        <v>156</v>
      </c>
      <c r="C481" s="118"/>
      <c r="D481" s="89"/>
      <c r="E481" s="89"/>
      <c r="F481" s="112" t="s">
        <v>155</v>
      </c>
      <c r="G481" s="118"/>
      <c r="H481" s="118"/>
      <c r="I481" s="89"/>
      <c r="J481" s="1115">
        <f>J474</f>
        <v>14363.046000000004</v>
      </c>
      <c r="K481" s="1059"/>
      <c r="L481" s="1059"/>
      <c r="M481" s="1551"/>
      <c r="N481" s="2597">
        <f>N482</f>
        <v>22251.162490000002</v>
      </c>
      <c r="O481" s="2510">
        <f>O474</f>
        <v>17791.410000000003</v>
      </c>
      <c r="P481" s="2511">
        <f>P474</f>
        <v>18871.780000000002</v>
      </c>
      <c r="Q481" s="2902">
        <f>Q486+Q488+Q492+Q496+Q545+Q548</f>
        <v>18243.485000000001</v>
      </c>
      <c r="R481" s="2903">
        <f>R486+R488+R492+R496+R545+R548</f>
        <v>18902.178</v>
      </c>
      <c r="S481" s="2545"/>
      <c r="T481" s="2545"/>
      <c r="U481" s="2545"/>
      <c r="V481" s="2597">
        <f>V482</f>
        <v>22174.959000000003</v>
      </c>
      <c r="W481" s="2597">
        <f>W482</f>
        <v>22322.081000000002</v>
      </c>
    </row>
    <row r="482" spans="1:26" ht="28" customHeight="1" x14ac:dyDescent="0.3">
      <c r="A482" s="85"/>
      <c r="B482" s="1093" t="s">
        <v>109</v>
      </c>
      <c r="C482" s="118"/>
      <c r="D482" s="33" t="s">
        <v>69</v>
      </c>
      <c r="E482" s="33" t="s">
        <v>112</v>
      </c>
      <c r="F482" s="112" t="s">
        <v>154</v>
      </c>
      <c r="G482" s="118"/>
      <c r="H482" s="118"/>
      <c r="I482" s="33"/>
      <c r="J482" s="1060">
        <f>J485+J490+J510+J514+J521</f>
        <v>12462.203000000003</v>
      </c>
      <c r="K482" s="1058"/>
      <c r="L482" s="1059">
        <f>L485+L490</f>
        <v>12437.288999999999</v>
      </c>
      <c r="M482" s="1551">
        <f>M485+M490</f>
        <v>13307.900000000001</v>
      </c>
      <c r="N482" s="2603">
        <f>N483+N508+N512+N539+N543+N516</f>
        <v>22251.162490000002</v>
      </c>
      <c r="O482" s="2510">
        <f>O485+O490+O510+O514+O521</f>
        <v>15466.985000000001</v>
      </c>
      <c r="P482" s="2511">
        <f>P485+P490+P510+P514+P521</f>
        <v>16326.328000000001</v>
      </c>
      <c r="Q482" s="2601">
        <f>Q486+Q488+Q492+Q496+Q545+Q548</f>
        <v>18243.485000000001</v>
      </c>
      <c r="R482" s="2602">
        <f>R486+R488+R492+R496+R545+R548</f>
        <v>18902.178</v>
      </c>
      <c r="S482" s="2545"/>
      <c r="T482" s="2545"/>
      <c r="U482" s="2545"/>
      <c r="V482" s="2603">
        <f>V483+V508+V512+V539+V543+V516</f>
        <v>22174.959000000003</v>
      </c>
      <c r="W482" s="2603">
        <f>W483+W508+W512+W539+W543+W516</f>
        <v>22322.081000000002</v>
      </c>
    </row>
    <row r="483" spans="1:26" s="83" customFormat="1" ht="29.5" customHeight="1" x14ac:dyDescent="0.3">
      <c r="A483" s="85"/>
      <c r="B483" s="1110" t="s">
        <v>153</v>
      </c>
      <c r="C483" s="118"/>
      <c r="D483" s="33"/>
      <c r="E483" s="33"/>
      <c r="F483" s="113" t="s">
        <v>152</v>
      </c>
      <c r="G483" s="118"/>
      <c r="H483" s="118"/>
      <c r="I483" s="89"/>
      <c r="J483" s="1059">
        <f>J482</f>
        <v>12462.203000000003</v>
      </c>
      <c r="K483" s="1058"/>
      <c r="L483" s="1059"/>
      <c r="M483" s="1551"/>
      <c r="N483" s="2603">
        <f>N486+N488+N492+N496+N498+N503+N504+N501</f>
        <v>21418.07215</v>
      </c>
      <c r="O483" s="2599">
        <f>O482</f>
        <v>15466.985000000001</v>
      </c>
      <c r="P483" s="2600">
        <f>P482</f>
        <v>16326.328000000001</v>
      </c>
      <c r="Q483" s="2601">
        <f>Q486+Q488+Q492+Q496</f>
        <v>18236.385000000002</v>
      </c>
      <c r="R483" s="2602">
        <f>R486+R488+R492+R496</f>
        <v>18895.078000000001</v>
      </c>
      <c r="S483" s="2545"/>
      <c r="T483" s="2545"/>
      <c r="U483" s="2545"/>
      <c r="V483" s="2603">
        <f>V486+V488+V492+V496+V498+V503+V504</f>
        <v>22167.919000000002</v>
      </c>
      <c r="W483" s="2603">
        <f>W486+W488+W492+W496+W498+W503+W504</f>
        <v>22315.041000000001</v>
      </c>
      <c r="X483" s="84"/>
      <c r="Z483" s="2141"/>
    </row>
    <row r="484" spans="1:26" s="83" customFormat="1" ht="28.9" hidden="1" customHeight="1" x14ac:dyDescent="0.3">
      <c r="A484" s="85"/>
      <c r="B484" s="49" t="s">
        <v>1063</v>
      </c>
      <c r="C484" s="118"/>
      <c r="D484" s="33"/>
      <c r="E484" s="33"/>
      <c r="F484" s="112" t="s">
        <v>152</v>
      </c>
      <c r="G484" s="119">
        <v>100</v>
      </c>
      <c r="H484" s="118"/>
      <c r="I484" s="89"/>
      <c r="J484" s="1059"/>
      <c r="K484" s="1058"/>
      <c r="L484" s="1059"/>
      <c r="M484" s="1551"/>
      <c r="N484" s="2603">
        <f>N485</f>
        <v>15607.696</v>
      </c>
      <c r="O484" s="2599"/>
      <c r="P484" s="2600"/>
      <c r="Q484" s="2601"/>
      <c r="R484" s="2602"/>
      <c r="S484" s="2545"/>
      <c r="T484" s="2545"/>
      <c r="U484" s="2545"/>
      <c r="V484" s="2603">
        <f t="shared" ref="V484:W484" si="233">V485</f>
        <v>15951.645</v>
      </c>
      <c r="W484" s="2603">
        <f t="shared" si="233"/>
        <v>16576.511000000002</v>
      </c>
      <c r="X484" s="84"/>
      <c r="Z484" s="2141"/>
    </row>
    <row r="485" spans="1:26" s="83" customFormat="1" ht="43.15" customHeight="1" x14ac:dyDescent="0.3">
      <c r="A485" s="85"/>
      <c r="B485" s="2003" t="s">
        <v>7</v>
      </c>
      <c r="C485" s="118"/>
      <c r="D485" s="33"/>
      <c r="E485" s="33"/>
      <c r="F485" s="112" t="s">
        <v>152</v>
      </c>
      <c r="G485" s="119">
        <v>120</v>
      </c>
      <c r="H485" s="119"/>
      <c r="I485" s="89"/>
      <c r="J485" s="1060">
        <f>J486+J488</f>
        <v>8197.5570000000007</v>
      </c>
      <c r="K485" s="1058"/>
      <c r="L485" s="1059">
        <f>L486+L488</f>
        <v>9181.8719999999994</v>
      </c>
      <c r="M485" s="1551">
        <f>M486+M488</f>
        <v>9824.6040000000012</v>
      </c>
      <c r="N485" s="2597">
        <f>N486+N488</f>
        <v>15607.696</v>
      </c>
      <c r="O485" s="2510">
        <f>O486+O488</f>
        <v>9671.2350000000006</v>
      </c>
      <c r="P485" s="2511">
        <f>P486+P488</f>
        <v>10737.36</v>
      </c>
      <c r="Q485" s="2512">
        <f>Q488+Q487+Q486+Q494</f>
        <v>15286.343000000001</v>
      </c>
      <c r="R485" s="2513">
        <f>R488+R487+R486+R494</f>
        <v>15897.791999999999</v>
      </c>
      <c r="S485" s="2545"/>
      <c r="T485" s="2545"/>
      <c r="U485" s="2545"/>
      <c r="V485" s="2597">
        <f>V486+V488</f>
        <v>15951.645</v>
      </c>
      <c r="W485" s="2597">
        <f>W486+W488</f>
        <v>16576.511000000002</v>
      </c>
      <c r="X485" s="84"/>
      <c r="Z485" s="2141"/>
    </row>
    <row r="486" spans="1:26" s="83" customFormat="1" ht="27.65" customHeight="1" x14ac:dyDescent="0.3">
      <c r="A486" s="85"/>
      <c r="B486" s="336" t="s">
        <v>114</v>
      </c>
      <c r="C486" s="118"/>
      <c r="D486" s="33" t="s">
        <v>69</v>
      </c>
      <c r="E486" s="33" t="s">
        <v>112</v>
      </c>
      <c r="F486" s="112" t="s">
        <v>152</v>
      </c>
      <c r="G486" s="119">
        <v>120</v>
      </c>
      <c r="H486" s="9" t="s">
        <v>456</v>
      </c>
      <c r="I486" s="33" t="s">
        <v>495</v>
      </c>
      <c r="J486" s="1060">
        <f>807.519+241.455</f>
        <v>1048.9739999999999</v>
      </c>
      <c r="K486" s="1059"/>
      <c r="L486" s="1061">
        <v>1378.2239999999999</v>
      </c>
      <c r="M486" s="1565">
        <v>1474.6990000000001</v>
      </c>
      <c r="N486" s="2597">
        <v>987.178</v>
      </c>
      <c r="O486" s="2510">
        <v>672.428</v>
      </c>
      <c r="P486" s="2511">
        <v>739.67200000000003</v>
      </c>
      <c r="Q486" s="2512">
        <v>994.03099999999995</v>
      </c>
      <c r="R486" s="2513">
        <v>1033.7919999999999</v>
      </c>
      <c r="S486" s="2545"/>
      <c r="T486" s="2545"/>
      <c r="U486" s="2545"/>
      <c r="V486" s="2597">
        <v>1024.0250000000001</v>
      </c>
      <c r="W486" s="2597">
        <v>1062.347</v>
      </c>
      <c r="X486" s="84"/>
      <c r="Z486" s="2141"/>
    </row>
    <row r="487" spans="1:26" s="83" customFormat="1" ht="26.25" hidden="1" customHeight="1" x14ac:dyDescent="0.3">
      <c r="A487" s="85"/>
      <c r="B487" s="1117" t="s">
        <v>589</v>
      </c>
      <c r="C487" s="118"/>
      <c r="D487" s="33"/>
      <c r="E487" s="33"/>
      <c r="F487" s="112" t="s">
        <v>113</v>
      </c>
      <c r="G487" s="119">
        <v>120</v>
      </c>
      <c r="H487" s="9" t="s">
        <v>456</v>
      </c>
      <c r="I487" s="33" t="s">
        <v>495</v>
      </c>
      <c r="J487" s="1060"/>
      <c r="K487" s="1058"/>
      <c r="L487" s="1062"/>
      <c r="M487" s="1556"/>
      <c r="N487" s="2597">
        <v>0</v>
      </c>
      <c r="O487" s="2510"/>
      <c r="P487" s="2511"/>
      <c r="Q487" s="2512">
        <v>0</v>
      </c>
      <c r="R487" s="2513">
        <v>0</v>
      </c>
      <c r="S487" s="2545"/>
      <c r="T487" s="2545"/>
      <c r="U487" s="2545"/>
      <c r="V487" s="2597">
        <v>0</v>
      </c>
      <c r="W487" s="2597">
        <v>0</v>
      </c>
      <c r="X487" s="84"/>
      <c r="Z487" s="2141"/>
    </row>
    <row r="488" spans="1:26" s="83" customFormat="1" ht="27" customHeight="1" x14ac:dyDescent="0.3">
      <c r="A488" s="32"/>
      <c r="B488" s="2066" t="s">
        <v>105</v>
      </c>
      <c r="C488" s="88"/>
      <c r="D488" s="88" t="s">
        <v>69</v>
      </c>
      <c r="E488" s="88" t="s">
        <v>103</v>
      </c>
      <c r="F488" s="112" t="s">
        <v>152</v>
      </c>
      <c r="G488" s="88">
        <v>120</v>
      </c>
      <c r="H488" s="9" t="s">
        <v>456</v>
      </c>
      <c r="I488" s="33" t="s">
        <v>452</v>
      </c>
      <c r="J488" s="1061">
        <f>5450.283+1.2+1697.1</f>
        <v>7148.5830000000005</v>
      </c>
      <c r="K488" s="1061"/>
      <c r="L488" s="1061">
        <v>7803.6480000000001</v>
      </c>
      <c r="M488" s="1566">
        <v>8349.9050000000007</v>
      </c>
      <c r="N488" s="2520">
        <f>14382.018+238.5</f>
        <v>14620.518</v>
      </c>
      <c r="O488" s="2541">
        <v>8998.8070000000007</v>
      </c>
      <c r="P488" s="2542">
        <v>9997.6880000000001</v>
      </c>
      <c r="Q488" s="2543">
        <v>14292.312</v>
      </c>
      <c r="R488" s="2544">
        <v>14864</v>
      </c>
      <c r="S488" s="2514"/>
      <c r="T488" s="2514"/>
      <c r="U488" s="2514"/>
      <c r="V488" s="2520">
        <v>14927.62</v>
      </c>
      <c r="W488" s="2520">
        <v>15514.164000000001</v>
      </c>
      <c r="X488" s="84"/>
      <c r="Z488" s="2141"/>
    </row>
    <row r="489" spans="1:26" ht="39" customHeight="1" x14ac:dyDescent="0.25">
      <c r="A489" s="32"/>
      <c r="B489" s="724" t="s">
        <v>948</v>
      </c>
      <c r="C489" s="88"/>
      <c r="D489" s="88"/>
      <c r="E489" s="88"/>
      <c r="F489" s="112" t="s">
        <v>152</v>
      </c>
      <c r="G489" s="88">
        <v>200</v>
      </c>
      <c r="H489" s="9"/>
      <c r="I489" s="33"/>
      <c r="J489" s="1061"/>
      <c r="K489" s="1061"/>
      <c r="L489" s="1061"/>
      <c r="M489" s="1566"/>
      <c r="N489" s="2520">
        <f>N490</f>
        <v>5799.3761500000001</v>
      </c>
      <c r="O489" s="2541"/>
      <c r="P489" s="2542"/>
      <c r="Q489" s="2543"/>
      <c r="R489" s="2544"/>
      <c r="S489" s="2514"/>
      <c r="T489" s="2514"/>
      <c r="U489" s="2514"/>
      <c r="V489" s="2520">
        <f t="shared" ref="V489:W489" si="234">V490</f>
        <v>6205.2739999999994</v>
      </c>
      <c r="W489" s="2520">
        <f t="shared" si="234"/>
        <v>5727.5300000000007</v>
      </c>
    </row>
    <row r="490" spans="1:26" ht="39" hidden="1" customHeight="1" x14ac:dyDescent="0.3">
      <c r="A490" s="85"/>
      <c r="B490" s="1993" t="s">
        <v>4</v>
      </c>
      <c r="C490" s="118"/>
      <c r="D490" s="33" t="s">
        <v>69</v>
      </c>
      <c r="E490" s="33" t="s">
        <v>112</v>
      </c>
      <c r="F490" s="112" t="s">
        <v>152</v>
      </c>
      <c r="G490" s="119">
        <v>240</v>
      </c>
      <c r="H490" s="119"/>
      <c r="I490" s="89"/>
      <c r="J490" s="1060">
        <f>J492+J496</f>
        <v>3612.3460000000005</v>
      </c>
      <c r="K490" s="1058"/>
      <c r="L490" s="1058">
        <f t="shared" ref="L490:R490" si="235">L492+L496</f>
        <v>3255.4169999999999</v>
      </c>
      <c r="M490" s="1555">
        <f t="shared" si="235"/>
        <v>3483.2959999999998</v>
      </c>
      <c r="N490" s="2597">
        <f t="shared" si="235"/>
        <v>5799.3761500000001</v>
      </c>
      <c r="O490" s="2510">
        <f t="shared" si="235"/>
        <v>5795.75</v>
      </c>
      <c r="P490" s="2511">
        <f t="shared" si="235"/>
        <v>5588.9679999999998</v>
      </c>
      <c r="Q490" s="2512">
        <f t="shared" si="235"/>
        <v>2950.0419999999999</v>
      </c>
      <c r="R490" s="2513">
        <f t="shared" si="235"/>
        <v>2997.2860000000001</v>
      </c>
      <c r="S490" s="2545"/>
      <c r="T490" s="2545"/>
      <c r="U490" s="2545"/>
      <c r="V490" s="2597">
        <f t="shared" ref="V490:W490" si="236">V492+V496</f>
        <v>6205.2739999999994</v>
      </c>
      <c r="W490" s="2597">
        <f t="shared" si="236"/>
        <v>5727.5300000000007</v>
      </c>
    </row>
    <row r="491" spans="1:26" ht="39" hidden="1" customHeight="1" x14ac:dyDescent="0.3">
      <c r="A491" s="85"/>
      <c r="B491" s="1993" t="s">
        <v>4</v>
      </c>
      <c r="C491" s="118"/>
      <c r="D491" s="33"/>
      <c r="E491" s="33"/>
      <c r="F491" s="112" t="s">
        <v>152</v>
      </c>
      <c r="G491" s="119">
        <v>240</v>
      </c>
      <c r="H491" s="119"/>
      <c r="I491" s="33"/>
      <c r="J491" s="1060">
        <f>J492</f>
        <v>1338.8210000000001</v>
      </c>
      <c r="K491" s="1058"/>
      <c r="L491" s="1058"/>
      <c r="M491" s="1555"/>
      <c r="N491" s="2597">
        <f>N492</f>
        <v>691.93799999999999</v>
      </c>
      <c r="O491" s="2510">
        <f>O492</f>
        <v>1199.08</v>
      </c>
      <c r="P491" s="2511">
        <f>P492</f>
        <v>1171.8689999999999</v>
      </c>
      <c r="Q491" s="2512">
        <f>Q492</f>
        <v>964.28800000000001</v>
      </c>
      <c r="R491" s="2513">
        <f>R492</f>
        <v>1005.98</v>
      </c>
      <c r="S491" s="2545"/>
      <c r="T491" s="2545"/>
      <c r="U491" s="2545"/>
      <c r="V491" s="2597">
        <f>V492</f>
        <v>502.57500000000005</v>
      </c>
      <c r="W491" s="2597">
        <f>W492</f>
        <v>1066.6400000000001</v>
      </c>
    </row>
    <row r="492" spans="1:26" ht="41.5" customHeight="1" x14ac:dyDescent="0.3">
      <c r="A492" s="85"/>
      <c r="B492" s="336" t="s">
        <v>114</v>
      </c>
      <c r="C492" s="118"/>
      <c r="D492" s="33"/>
      <c r="E492" s="33"/>
      <c r="F492" s="112" t="s">
        <v>152</v>
      </c>
      <c r="G492" s="119">
        <v>240</v>
      </c>
      <c r="H492" s="9" t="s">
        <v>456</v>
      </c>
      <c r="I492" s="33" t="s">
        <v>495</v>
      </c>
      <c r="J492" s="1060">
        <f>2387.795-1048.974</f>
        <v>1338.8210000000001</v>
      </c>
      <c r="K492" s="1058"/>
      <c r="L492" s="1062">
        <v>906.91</v>
      </c>
      <c r="M492" s="1556">
        <v>970.39300000000003</v>
      </c>
      <c r="N492" s="2597">
        <f>941.938-250</f>
        <v>691.93799999999999</v>
      </c>
      <c r="O492" s="2510">
        <v>1199.08</v>
      </c>
      <c r="P492" s="2511">
        <v>1171.8689999999999</v>
      </c>
      <c r="Q492" s="2512">
        <v>964.28800000000001</v>
      </c>
      <c r="R492" s="2513">
        <v>1005.98</v>
      </c>
      <c r="S492" s="2545"/>
      <c r="T492" s="2545"/>
      <c r="U492" s="2545"/>
      <c r="V492" s="2597">
        <f>1002.475-499.9</f>
        <v>502.57500000000005</v>
      </c>
      <c r="W492" s="2597">
        <v>1066.6400000000001</v>
      </c>
    </row>
    <row r="493" spans="1:26" ht="19" hidden="1" customHeight="1" x14ac:dyDescent="0.3">
      <c r="A493" s="85"/>
      <c r="B493" s="2421" t="s">
        <v>94</v>
      </c>
      <c r="C493" s="118"/>
      <c r="D493" s="33"/>
      <c r="E493" s="33"/>
      <c r="F493" s="112" t="s">
        <v>152</v>
      </c>
      <c r="G493" s="119">
        <v>850</v>
      </c>
      <c r="H493" s="9" t="s">
        <v>456</v>
      </c>
      <c r="I493" s="33" t="s">
        <v>495</v>
      </c>
      <c r="J493" s="1060"/>
      <c r="K493" s="1058"/>
      <c r="L493" s="1062"/>
      <c r="M493" s="1556"/>
      <c r="N493" s="2597"/>
      <c r="O493" s="2510"/>
      <c r="P493" s="2511"/>
      <c r="Q493" s="2512"/>
      <c r="R493" s="2513"/>
      <c r="S493" s="2545"/>
      <c r="T493" s="2545"/>
      <c r="U493" s="2545"/>
      <c r="V493" s="2597"/>
      <c r="W493" s="2597"/>
    </row>
    <row r="494" spans="1:26" ht="39" hidden="1" customHeight="1" x14ac:dyDescent="0.3">
      <c r="A494" s="85"/>
      <c r="B494" s="336" t="s">
        <v>571</v>
      </c>
      <c r="C494" s="118"/>
      <c r="D494" s="33"/>
      <c r="E494" s="33"/>
      <c r="F494" s="112" t="s">
        <v>113</v>
      </c>
      <c r="G494" s="119">
        <v>120</v>
      </c>
      <c r="H494" s="9" t="s">
        <v>456</v>
      </c>
      <c r="I494" s="33" t="s">
        <v>495</v>
      </c>
      <c r="J494" s="1060"/>
      <c r="K494" s="1058"/>
      <c r="L494" s="1062"/>
      <c r="M494" s="1556"/>
      <c r="N494" s="2597"/>
      <c r="O494" s="2510"/>
      <c r="P494" s="2511"/>
      <c r="Q494" s="2512">
        <v>0</v>
      </c>
      <c r="R494" s="2513">
        <v>0</v>
      </c>
      <c r="S494" s="2545"/>
      <c r="T494" s="2545"/>
      <c r="U494" s="2545"/>
      <c r="V494" s="2597"/>
      <c r="W494" s="2597"/>
    </row>
    <row r="495" spans="1:26" ht="38.5" hidden="1" customHeight="1" x14ac:dyDescent="0.3">
      <c r="A495" s="85"/>
      <c r="B495" s="1993" t="s">
        <v>4</v>
      </c>
      <c r="C495" s="118"/>
      <c r="D495" s="33"/>
      <c r="E495" s="33"/>
      <c r="F495" s="112" t="s">
        <v>152</v>
      </c>
      <c r="G495" s="88">
        <v>240</v>
      </c>
      <c r="H495" s="88"/>
      <c r="I495" s="88"/>
      <c r="J495" s="1061">
        <f>J496</f>
        <v>2273.5250000000001</v>
      </c>
      <c r="K495" s="1058"/>
      <c r="L495" s="1062"/>
      <c r="M495" s="1556"/>
      <c r="N495" s="2520"/>
      <c r="O495" s="2541">
        <f>O496</f>
        <v>4596.67</v>
      </c>
      <c r="P495" s="2542">
        <f>P496</f>
        <v>4417.0990000000002</v>
      </c>
      <c r="Q495" s="2543">
        <f>Q496</f>
        <v>1985.7539999999999</v>
      </c>
      <c r="R495" s="2544">
        <f>R496</f>
        <v>1991.306</v>
      </c>
      <c r="S495" s="2545"/>
      <c r="T495" s="2545"/>
      <c r="U495" s="2545"/>
      <c r="V495" s="2520"/>
      <c r="W495" s="2520"/>
    </row>
    <row r="496" spans="1:26" ht="21" customHeight="1" x14ac:dyDescent="0.3">
      <c r="A496" s="32"/>
      <c r="B496" s="2012" t="s">
        <v>105</v>
      </c>
      <c r="C496" s="88"/>
      <c r="D496" s="88" t="s">
        <v>69</v>
      </c>
      <c r="E496" s="88" t="s">
        <v>103</v>
      </c>
      <c r="F496" s="112" t="s">
        <v>152</v>
      </c>
      <c r="G496" s="88">
        <v>240</v>
      </c>
      <c r="H496" s="9" t="s">
        <v>456</v>
      </c>
      <c r="I496" s="33" t="s">
        <v>452</v>
      </c>
      <c r="J496" s="1061">
        <v>2273.5250000000001</v>
      </c>
      <c r="K496" s="1061"/>
      <c r="L496" s="1118">
        <v>2348.5070000000001</v>
      </c>
      <c r="M496" s="1567">
        <v>2512.9029999999998</v>
      </c>
      <c r="N496" s="2520">
        <f>5417.617+21-19.20834-238.5-73.47051</f>
        <v>5107.43815</v>
      </c>
      <c r="O496" s="2541">
        <v>4596.67</v>
      </c>
      <c r="P496" s="2542">
        <v>4417.0990000000002</v>
      </c>
      <c r="Q496" s="2543">
        <v>1985.7539999999999</v>
      </c>
      <c r="R496" s="2544">
        <v>1991.306</v>
      </c>
      <c r="S496" s="2514"/>
      <c r="T496" s="2514"/>
      <c r="U496" s="2514"/>
      <c r="V496" s="2520">
        <v>5702.6989999999996</v>
      </c>
      <c r="W496" s="2520">
        <v>4660.8900000000003</v>
      </c>
    </row>
    <row r="497" spans="1:256" ht="21" hidden="1" customHeight="1" x14ac:dyDescent="0.25">
      <c r="A497" s="32"/>
      <c r="B497" s="2067" t="s">
        <v>97</v>
      </c>
      <c r="C497" s="88"/>
      <c r="D497" s="88"/>
      <c r="E497" s="88"/>
      <c r="F497" s="112" t="s">
        <v>152</v>
      </c>
      <c r="G497" s="119">
        <v>830</v>
      </c>
      <c r="H497" s="9"/>
      <c r="I497" s="33"/>
      <c r="J497" s="1061"/>
      <c r="K497" s="1061"/>
      <c r="L497" s="1118"/>
      <c r="M497" s="1567"/>
      <c r="N497" s="2520">
        <f>N498</f>
        <v>0</v>
      </c>
      <c r="O497" s="2541"/>
      <c r="P497" s="2542"/>
      <c r="Q497" s="2543"/>
      <c r="R497" s="2544"/>
      <c r="S497" s="2514"/>
      <c r="T497" s="2514"/>
      <c r="U497" s="2514"/>
      <c r="V497" s="2520">
        <f>V498</f>
        <v>0</v>
      </c>
      <c r="W497" s="2520">
        <f>W498</f>
        <v>0</v>
      </c>
    </row>
    <row r="498" spans="1:256" ht="21" hidden="1" customHeight="1" x14ac:dyDescent="0.3">
      <c r="A498" s="32"/>
      <c r="B498" s="336" t="s">
        <v>114</v>
      </c>
      <c r="C498" s="88"/>
      <c r="D498" s="88"/>
      <c r="E498" s="88"/>
      <c r="F498" s="112" t="s">
        <v>152</v>
      </c>
      <c r="G498" s="119">
        <v>830</v>
      </c>
      <c r="H498" s="9" t="s">
        <v>456</v>
      </c>
      <c r="I498" s="33" t="s">
        <v>495</v>
      </c>
      <c r="J498" s="1061"/>
      <c r="K498" s="1061"/>
      <c r="L498" s="1118"/>
      <c r="M498" s="1567"/>
      <c r="N498" s="2520"/>
      <c r="O498" s="2541"/>
      <c r="P498" s="2542"/>
      <c r="Q498" s="2543"/>
      <c r="R498" s="2544"/>
      <c r="S498" s="2514"/>
      <c r="T498" s="2514"/>
      <c r="U498" s="2514"/>
      <c r="V498" s="2520"/>
      <c r="W498" s="2520"/>
    </row>
    <row r="499" spans="1:256" ht="13" x14ac:dyDescent="0.25">
      <c r="A499" s="32"/>
      <c r="B499" s="2152" t="s">
        <v>1065</v>
      </c>
      <c r="C499" s="88"/>
      <c r="D499" s="88"/>
      <c r="E499" s="88"/>
      <c r="F499" s="112" t="s">
        <v>152</v>
      </c>
      <c r="G499" s="119">
        <v>800</v>
      </c>
      <c r="H499" s="9"/>
      <c r="I499" s="33"/>
      <c r="J499" s="1061"/>
      <c r="K499" s="1061"/>
      <c r="L499" s="1118"/>
      <c r="M499" s="1567"/>
      <c r="N499" s="2520">
        <f>N502+N500</f>
        <v>11</v>
      </c>
      <c r="O499" s="2541"/>
      <c r="P499" s="2542"/>
      <c r="Q499" s="2543"/>
      <c r="R499" s="2544"/>
      <c r="S499" s="2514"/>
      <c r="T499" s="2514"/>
      <c r="U499" s="2514"/>
      <c r="V499" s="2520">
        <f t="shared" ref="V499:W499" si="237">V502</f>
        <v>11</v>
      </c>
      <c r="W499" s="2520">
        <f t="shared" si="237"/>
        <v>11</v>
      </c>
    </row>
    <row r="500" spans="1:256" ht="13" x14ac:dyDescent="0.25">
      <c r="A500" s="32"/>
      <c r="B500" s="2152" t="s">
        <v>1003</v>
      </c>
      <c r="C500" s="88"/>
      <c r="D500" s="88"/>
      <c r="E500" s="88"/>
      <c r="F500" s="112" t="s">
        <v>152</v>
      </c>
      <c r="G500" s="119">
        <v>830</v>
      </c>
      <c r="H500" s="9"/>
      <c r="I500" s="33"/>
      <c r="J500" s="1061"/>
      <c r="K500" s="1061"/>
      <c r="L500" s="1118"/>
      <c r="M500" s="1567"/>
      <c r="N500" s="2520">
        <f>N501</f>
        <v>0.5</v>
      </c>
      <c r="O500" s="2541"/>
      <c r="P500" s="2542"/>
      <c r="Q500" s="2543"/>
      <c r="R500" s="2544"/>
      <c r="S500" s="2514"/>
      <c r="T500" s="2514"/>
      <c r="U500" s="2514"/>
      <c r="V500" s="2520">
        <f>V501</f>
        <v>0</v>
      </c>
      <c r="W500" s="2520">
        <f>W501</f>
        <v>0</v>
      </c>
    </row>
    <row r="501" spans="1:256" ht="39" x14ac:dyDescent="0.25">
      <c r="A501" s="32"/>
      <c r="B501" s="2152" t="s">
        <v>114</v>
      </c>
      <c r="C501" s="88"/>
      <c r="D501" s="88"/>
      <c r="E501" s="88"/>
      <c r="F501" s="112" t="s">
        <v>152</v>
      </c>
      <c r="G501" s="119">
        <v>830</v>
      </c>
      <c r="H501" s="9" t="s">
        <v>456</v>
      </c>
      <c r="I501" s="33" t="s">
        <v>495</v>
      </c>
      <c r="J501" s="1061"/>
      <c r="K501" s="1061"/>
      <c r="L501" s="1118"/>
      <c r="M501" s="1567"/>
      <c r="N501" s="2520">
        <v>0.5</v>
      </c>
      <c r="O501" s="2541"/>
      <c r="P501" s="2542"/>
      <c r="Q501" s="2543"/>
      <c r="R501" s="2544"/>
      <c r="S501" s="2514"/>
      <c r="T501" s="2514"/>
      <c r="U501" s="2514"/>
      <c r="V501" s="2520">
        <v>0</v>
      </c>
      <c r="W501" s="2520">
        <v>0</v>
      </c>
    </row>
    <row r="502" spans="1:256" ht="13" x14ac:dyDescent="0.25">
      <c r="A502" s="32"/>
      <c r="B502" s="2421" t="s">
        <v>94</v>
      </c>
      <c r="C502" s="88"/>
      <c r="D502" s="88"/>
      <c r="E502" s="88"/>
      <c r="F502" s="112" t="s">
        <v>152</v>
      </c>
      <c r="G502" s="119">
        <v>850</v>
      </c>
      <c r="H502" s="9"/>
      <c r="I502" s="33"/>
      <c r="J502" s="1061"/>
      <c r="K502" s="1061"/>
      <c r="L502" s="1118"/>
      <c r="M502" s="1567"/>
      <c r="N502" s="2520">
        <f>N503+N504</f>
        <v>10.5</v>
      </c>
      <c r="O502" s="2541"/>
      <c r="P502" s="2542"/>
      <c r="Q502" s="2543">
        <f>Q503+Q504</f>
        <v>0</v>
      </c>
      <c r="R502" s="2544">
        <f>R503+R504</f>
        <v>0</v>
      </c>
      <c r="S502" s="2514"/>
      <c r="T502" s="2514"/>
      <c r="U502" s="2514"/>
      <c r="V502" s="2520">
        <f>V503+V504</f>
        <v>11</v>
      </c>
      <c r="W502" s="2520">
        <f>W503+W504</f>
        <v>11</v>
      </c>
    </row>
    <row r="503" spans="1:256" ht="39" x14ac:dyDescent="0.3">
      <c r="A503" s="32"/>
      <c r="B503" s="336" t="s">
        <v>114</v>
      </c>
      <c r="C503" s="118"/>
      <c r="D503" s="33"/>
      <c r="E503" s="33"/>
      <c r="F503" s="112" t="s">
        <v>152</v>
      </c>
      <c r="G503" s="119">
        <v>850</v>
      </c>
      <c r="H503" s="9" t="s">
        <v>456</v>
      </c>
      <c r="I503" s="33" t="s">
        <v>495</v>
      </c>
      <c r="J503" s="1060"/>
      <c r="K503" s="1058"/>
      <c r="L503" s="1062"/>
      <c r="M503" s="1556"/>
      <c r="N503" s="2597">
        <v>0.5</v>
      </c>
      <c r="O503" s="2541"/>
      <c r="P503" s="2542"/>
      <c r="Q503" s="2512"/>
      <c r="R503" s="2513"/>
      <c r="S503" s="2514"/>
      <c r="T503" s="2514"/>
      <c r="U503" s="2514"/>
      <c r="V503" s="2597">
        <v>1</v>
      </c>
      <c r="W503" s="2597">
        <v>1</v>
      </c>
    </row>
    <row r="504" spans="1:256" s="2" customFormat="1" ht="39" x14ac:dyDescent="0.3">
      <c r="A504" s="32"/>
      <c r="B504" s="2012" t="s">
        <v>105</v>
      </c>
      <c r="C504" s="88"/>
      <c r="D504" s="88"/>
      <c r="E504" s="88"/>
      <c r="F504" s="112" t="s">
        <v>152</v>
      </c>
      <c r="G504" s="88">
        <v>850</v>
      </c>
      <c r="H504" s="9" t="s">
        <v>456</v>
      </c>
      <c r="I504" s="33" t="s">
        <v>452</v>
      </c>
      <c r="J504" s="1061"/>
      <c r="K504" s="1061"/>
      <c r="L504" s="1061"/>
      <c r="M504" s="1125"/>
      <c r="N504" s="2520">
        <v>10</v>
      </c>
      <c r="O504" s="2541"/>
      <c r="P504" s="2542"/>
      <c r="Q504" s="2543"/>
      <c r="R504" s="2544"/>
      <c r="S504" s="2514"/>
      <c r="T504" s="2514"/>
      <c r="U504" s="2514"/>
      <c r="V504" s="2520">
        <v>10</v>
      </c>
      <c r="W504" s="2520">
        <v>10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13" hidden="1" x14ac:dyDescent="0.3">
      <c r="A505" s="32"/>
      <c r="B505" s="2003" t="s">
        <v>16</v>
      </c>
      <c r="C505" s="88"/>
      <c r="D505" s="88" t="s">
        <v>69</v>
      </c>
      <c r="E505" s="88" t="s">
        <v>103</v>
      </c>
      <c r="F505" s="88">
        <v>9100004</v>
      </c>
      <c r="G505" s="88">
        <v>240</v>
      </c>
      <c r="H505" s="88"/>
      <c r="I505" s="88" t="s">
        <v>103</v>
      </c>
      <c r="J505" s="1061">
        <v>2215.5729999999999</v>
      </c>
      <c r="K505" s="1061"/>
      <c r="L505" s="1061">
        <f>J505*106%</f>
        <v>2348.50738</v>
      </c>
      <c r="M505" s="1125">
        <f>L505*107%</f>
        <v>2512.9028966000001</v>
      </c>
      <c r="N505" s="2520">
        <v>2215.5729999999999</v>
      </c>
      <c r="O505" s="2541">
        <v>2215.5729999999999</v>
      </c>
      <c r="P505" s="2542">
        <v>2215.5729999999999</v>
      </c>
      <c r="Q505" s="2543">
        <v>2215.5729999999999</v>
      </c>
      <c r="R505" s="2544">
        <v>2215.5729999999999</v>
      </c>
      <c r="S505" s="2514"/>
      <c r="T505" s="2514"/>
      <c r="U505" s="2514"/>
      <c r="V505" s="2520">
        <v>2215.5729999999999</v>
      </c>
      <c r="W505" s="2520">
        <v>2215.5729999999999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13" hidden="1" x14ac:dyDescent="0.3">
      <c r="A506" s="32"/>
      <c r="B506" s="2003"/>
      <c r="C506" s="88"/>
      <c r="D506" s="88"/>
      <c r="E506" s="88"/>
      <c r="F506" s="88"/>
      <c r="G506" s="88"/>
      <c r="H506" s="88"/>
      <c r="I506" s="88"/>
      <c r="J506" s="1061"/>
      <c r="K506" s="1061"/>
      <c r="L506" s="1061"/>
      <c r="M506" s="1125"/>
      <c r="N506" s="2520"/>
      <c r="O506" s="2541"/>
      <c r="P506" s="2542"/>
      <c r="Q506" s="2543"/>
      <c r="R506" s="2544"/>
      <c r="S506" s="2514"/>
      <c r="T506" s="2514"/>
      <c r="U506" s="2514"/>
      <c r="V506" s="2520"/>
      <c r="W506" s="2520"/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13" hidden="1" x14ac:dyDescent="0.3">
      <c r="A507" s="32"/>
      <c r="B507" s="2003"/>
      <c r="C507" s="88"/>
      <c r="D507" s="88"/>
      <c r="E507" s="88"/>
      <c r="F507" s="88">
        <v>9100004</v>
      </c>
      <c r="G507" s="88"/>
      <c r="H507" s="88"/>
      <c r="I507" s="88" t="s">
        <v>103</v>
      </c>
      <c r="J507" s="1061" t="e">
        <f>#REF!+J496</f>
        <v>#REF!</v>
      </c>
      <c r="K507" s="1061"/>
      <c r="L507" s="1061" t="e">
        <f>#REF!+L496</f>
        <v>#REF!</v>
      </c>
      <c r="M507" s="1125" t="e">
        <f>#REF!+M496</f>
        <v>#REF!</v>
      </c>
      <c r="N507" s="2520" t="e">
        <f>#REF!+N496</f>
        <v>#REF!</v>
      </c>
      <c r="O507" s="2541" t="e">
        <f>#REF!+O496</f>
        <v>#REF!</v>
      </c>
      <c r="P507" s="2542" t="e">
        <f>#REF!+P496</f>
        <v>#REF!</v>
      </c>
      <c r="Q507" s="2543" t="e">
        <f>#REF!+Q496</f>
        <v>#REF!</v>
      </c>
      <c r="R507" s="2544" t="e">
        <f>#REF!+R496</f>
        <v>#REF!</v>
      </c>
      <c r="S507" s="2514"/>
      <c r="T507" s="2514"/>
      <c r="U507" s="2514"/>
      <c r="V507" s="2520" t="e">
        <f>#REF!+V496</f>
        <v>#REF!</v>
      </c>
      <c r="W507" s="2520" t="e">
        <f>#REF!+W496</f>
        <v>#REF!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39" x14ac:dyDescent="0.3">
      <c r="A508" s="32"/>
      <c r="B508" s="336" t="s">
        <v>151</v>
      </c>
      <c r="C508" s="88"/>
      <c r="D508" s="88"/>
      <c r="E508" s="88"/>
      <c r="F508" s="113" t="s">
        <v>623</v>
      </c>
      <c r="G508" s="94"/>
      <c r="H508" s="94"/>
      <c r="I508" s="94"/>
      <c r="J508" s="1064">
        <f>J510</f>
        <v>179.7</v>
      </c>
      <c r="K508" s="1064"/>
      <c r="L508" s="1064"/>
      <c r="M508" s="1552"/>
      <c r="N508" s="2549">
        <f>N510</f>
        <v>57.192</v>
      </c>
      <c r="O508" s="2550">
        <f>O510</f>
        <v>0</v>
      </c>
      <c r="P508" s="2551">
        <f>P510</f>
        <v>0</v>
      </c>
      <c r="Q508" s="2552">
        <f>Q510</f>
        <v>0</v>
      </c>
      <c r="R508" s="2553">
        <f>R510</f>
        <v>0</v>
      </c>
      <c r="S508" s="2514"/>
      <c r="T508" s="2514"/>
      <c r="U508" s="2514"/>
      <c r="V508" s="2549">
        <f>V510</f>
        <v>0</v>
      </c>
      <c r="W508" s="2549">
        <f>W510</f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13" x14ac:dyDescent="0.3">
      <c r="A509" s="32"/>
      <c r="B509" s="336" t="s">
        <v>1069</v>
      </c>
      <c r="C509" s="88"/>
      <c r="D509" s="88"/>
      <c r="E509" s="88"/>
      <c r="F509" s="112" t="s">
        <v>623</v>
      </c>
      <c r="G509" s="88">
        <v>500</v>
      </c>
      <c r="H509" s="94"/>
      <c r="I509" s="94"/>
      <c r="J509" s="1064"/>
      <c r="K509" s="1064"/>
      <c r="L509" s="1064"/>
      <c r="M509" s="1552"/>
      <c r="N509" s="2549">
        <f>N510</f>
        <v>57.192</v>
      </c>
      <c r="O509" s="2550"/>
      <c r="P509" s="2551"/>
      <c r="Q509" s="2552"/>
      <c r="R509" s="2553"/>
      <c r="S509" s="2514"/>
      <c r="T509" s="2514"/>
      <c r="U509" s="2514"/>
      <c r="V509" s="2549">
        <f>V510</f>
        <v>0</v>
      </c>
      <c r="W509" s="2549">
        <f>W510</f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13" x14ac:dyDescent="0.3">
      <c r="A510" s="32"/>
      <c r="B510" s="336" t="s">
        <v>123</v>
      </c>
      <c r="C510" s="88"/>
      <c r="D510" s="88"/>
      <c r="E510" s="88"/>
      <c r="F510" s="112" t="s">
        <v>623</v>
      </c>
      <c r="G510" s="88">
        <v>540</v>
      </c>
      <c r="H510" s="88"/>
      <c r="I510" s="88"/>
      <c r="J510" s="1061">
        <f>J511</f>
        <v>179.7</v>
      </c>
      <c r="K510" s="1061"/>
      <c r="L510" s="1061"/>
      <c r="M510" s="1125"/>
      <c r="N510" s="2520">
        <f t="shared" ref="N510:R510" si="238">N511</f>
        <v>57.192</v>
      </c>
      <c r="O510" s="2541">
        <f t="shared" si="238"/>
        <v>0</v>
      </c>
      <c r="P510" s="2542">
        <f t="shared" si="238"/>
        <v>0</v>
      </c>
      <c r="Q510" s="2543">
        <f t="shared" si="238"/>
        <v>0</v>
      </c>
      <c r="R510" s="2544">
        <f t="shared" si="238"/>
        <v>0</v>
      </c>
      <c r="S510" s="2514"/>
      <c r="T510" s="2514"/>
      <c r="U510" s="2514"/>
      <c r="V510" s="2520">
        <f t="shared" ref="V510:W510" si="239">V511</f>
        <v>0</v>
      </c>
      <c r="W510" s="2520">
        <f t="shared" si="239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39" x14ac:dyDescent="0.3">
      <c r="A511" s="32"/>
      <c r="B511" s="2066" t="s">
        <v>105</v>
      </c>
      <c r="C511" s="88"/>
      <c r="D511" s="88"/>
      <c r="E511" s="88"/>
      <c r="F511" s="112" t="s">
        <v>623</v>
      </c>
      <c r="G511" s="88">
        <v>540</v>
      </c>
      <c r="H511" s="9" t="s">
        <v>456</v>
      </c>
      <c r="I511" s="33" t="s">
        <v>452</v>
      </c>
      <c r="J511" s="1061">
        <v>179.7</v>
      </c>
      <c r="K511" s="1061"/>
      <c r="L511" s="1061"/>
      <c r="M511" s="1125"/>
      <c r="N511" s="2520">
        <v>57.192</v>
      </c>
      <c r="O511" s="2541"/>
      <c r="P511" s="2542"/>
      <c r="Q511" s="2543"/>
      <c r="R511" s="2544"/>
      <c r="S511" s="2514"/>
      <c r="T511" s="2514"/>
      <c r="U511" s="2514"/>
      <c r="V511" s="2520">
        <v>0</v>
      </c>
      <c r="W511" s="2520"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39" x14ac:dyDescent="0.25">
      <c r="A512" s="32"/>
      <c r="B512" s="1119" t="s">
        <v>149</v>
      </c>
      <c r="C512" s="88"/>
      <c r="D512" s="88"/>
      <c r="E512" s="88"/>
      <c r="F512" s="113" t="s">
        <v>148</v>
      </c>
      <c r="G512" s="94"/>
      <c r="H512" s="94"/>
      <c r="I512" s="94"/>
      <c r="J512" s="1064">
        <f>J514</f>
        <v>303</v>
      </c>
      <c r="K512" s="1064"/>
      <c r="L512" s="1064"/>
      <c r="M512" s="1552"/>
      <c r="N512" s="2549">
        <f>N514</f>
        <v>329</v>
      </c>
      <c r="O512" s="2550">
        <f>O514</f>
        <v>0</v>
      </c>
      <c r="P512" s="2551">
        <f>P514</f>
        <v>0</v>
      </c>
      <c r="Q512" s="2552">
        <f>Q514</f>
        <v>0</v>
      </c>
      <c r="R512" s="2553">
        <f>R514</f>
        <v>0</v>
      </c>
      <c r="S512" s="2514"/>
      <c r="T512" s="2514"/>
      <c r="U512" s="2514"/>
      <c r="V512" s="2549">
        <f>V514</f>
        <v>0</v>
      </c>
      <c r="W512" s="2549">
        <f>W514</f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13" x14ac:dyDescent="0.25">
      <c r="A513" s="32"/>
      <c r="B513" s="1119" t="s">
        <v>1069</v>
      </c>
      <c r="C513" s="88"/>
      <c r="D513" s="88"/>
      <c r="E513" s="88"/>
      <c r="F513" s="112" t="s">
        <v>148</v>
      </c>
      <c r="G513" s="88">
        <v>500</v>
      </c>
      <c r="H513" s="94"/>
      <c r="I513" s="94"/>
      <c r="J513" s="1064"/>
      <c r="K513" s="1064"/>
      <c r="L513" s="1064"/>
      <c r="M513" s="1552"/>
      <c r="N513" s="2520">
        <f>N514</f>
        <v>329</v>
      </c>
      <c r="O513" s="2550"/>
      <c r="P513" s="2551"/>
      <c r="Q513" s="2552"/>
      <c r="R513" s="2553"/>
      <c r="S513" s="2514"/>
      <c r="T513" s="2514"/>
      <c r="U513" s="2514"/>
      <c r="V513" s="2549"/>
      <c r="W513" s="2549"/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13" x14ac:dyDescent="0.25">
      <c r="A514" s="32"/>
      <c r="B514" s="1119" t="s">
        <v>130</v>
      </c>
      <c r="C514" s="88"/>
      <c r="D514" s="88"/>
      <c r="E514" s="88"/>
      <c r="F514" s="112" t="s">
        <v>148</v>
      </c>
      <c r="G514" s="88">
        <v>540</v>
      </c>
      <c r="H514" s="88"/>
      <c r="I514" s="88"/>
      <c r="J514" s="1061">
        <f>J515</f>
        <v>303</v>
      </c>
      <c r="K514" s="1061"/>
      <c r="L514" s="1061"/>
      <c r="M514" s="1125"/>
      <c r="N514" s="2520">
        <f t="shared" ref="N514:R514" si="240">N515</f>
        <v>329</v>
      </c>
      <c r="O514" s="2541">
        <f t="shared" si="240"/>
        <v>0</v>
      </c>
      <c r="P514" s="2542">
        <f t="shared" si="240"/>
        <v>0</v>
      </c>
      <c r="Q514" s="2543">
        <f t="shared" si="240"/>
        <v>0</v>
      </c>
      <c r="R514" s="2544">
        <f t="shared" si="240"/>
        <v>0</v>
      </c>
      <c r="S514" s="2514"/>
      <c r="T514" s="2514"/>
      <c r="U514" s="2514"/>
      <c r="V514" s="2520">
        <f t="shared" ref="V514:W514" si="241">V515</f>
        <v>0</v>
      </c>
      <c r="W514" s="2520">
        <f t="shared" si="241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42.65" customHeight="1" x14ac:dyDescent="0.3">
      <c r="A515" s="32"/>
      <c r="B515" s="2066" t="s">
        <v>105</v>
      </c>
      <c r="C515" s="88"/>
      <c r="D515" s="88"/>
      <c r="E515" s="88"/>
      <c r="F515" s="112" t="s">
        <v>148</v>
      </c>
      <c r="G515" s="88">
        <v>540</v>
      </c>
      <c r="H515" s="9" t="s">
        <v>456</v>
      </c>
      <c r="I515" s="33" t="s">
        <v>452</v>
      </c>
      <c r="J515" s="1061">
        <v>303</v>
      </c>
      <c r="K515" s="1061"/>
      <c r="L515" s="1061"/>
      <c r="M515" s="1125"/>
      <c r="N515" s="2520">
        <f>350-21</f>
        <v>329</v>
      </c>
      <c r="O515" s="2541"/>
      <c r="P515" s="2542"/>
      <c r="Q515" s="2543"/>
      <c r="R515" s="2544"/>
      <c r="S515" s="2514"/>
      <c r="T515" s="2514"/>
      <c r="U515" s="2514"/>
      <c r="V515" s="2520">
        <v>0</v>
      </c>
      <c r="W515" s="2520"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42.65" customHeight="1" x14ac:dyDescent="0.25">
      <c r="A516" s="32"/>
      <c r="B516" s="1098" t="s">
        <v>1234</v>
      </c>
      <c r="C516" s="88"/>
      <c r="D516" s="88"/>
      <c r="E516" s="88"/>
      <c r="F516" s="113" t="s">
        <v>146</v>
      </c>
      <c r="G516" s="88"/>
      <c r="H516" s="9"/>
      <c r="I516" s="33"/>
      <c r="J516" s="1061"/>
      <c r="K516" s="1061"/>
      <c r="L516" s="1061"/>
      <c r="M516" s="1125"/>
      <c r="N516" s="2520">
        <f>N517</f>
        <v>19.20834</v>
      </c>
      <c r="O516" s="2541"/>
      <c r="P516" s="2542"/>
      <c r="Q516" s="2543"/>
      <c r="R516" s="2544"/>
      <c r="S516" s="2514"/>
      <c r="T516" s="2514"/>
      <c r="U516" s="2514"/>
      <c r="V516" s="2520">
        <f>-V517</f>
        <v>0</v>
      </c>
      <c r="W516" s="2520">
        <f>-W517</f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42.65" customHeight="1" x14ac:dyDescent="0.25">
      <c r="A517" s="32"/>
      <c r="B517" s="1119" t="s">
        <v>1069</v>
      </c>
      <c r="C517" s="88"/>
      <c r="D517" s="88"/>
      <c r="E517" s="88"/>
      <c r="F517" s="112" t="s">
        <v>146</v>
      </c>
      <c r="G517" s="88">
        <v>500</v>
      </c>
      <c r="H517" s="9"/>
      <c r="I517" s="33"/>
      <c r="J517" s="1061"/>
      <c r="K517" s="1061"/>
      <c r="L517" s="1061"/>
      <c r="M517" s="1125"/>
      <c r="N517" s="2520">
        <f>N518</f>
        <v>19.20834</v>
      </c>
      <c r="O517" s="2541"/>
      <c r="P517" s="2542"/>
      <c r="Q517" s="2543"/>
      <c r="R517" s="2544"/>
      <c r="S517" s="2514"/>
      <c r="T517" s="2514"/>
      <c r="U517" s="2514"/>
      <c r="V517" s="2520">
        <f>-V518</f>
        <v>0</v>
      </c>
      <c r="W517" s="2520">
        <f>-W518</f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13" x14ac:dyDescent="0.25">
      <c r="A518" s="32"/>
      <c r="B518" s="1119" t="s">
        <v>130</v>
      </c>
      <c r="C518" s="88"/>
      <c r="D518" s="88"/>
      <c r="E518" s="88"/>
      <c r="F518" s="112" t="s">
        <v>146</v>
      </c>
      <c r="G518" s="88">
        <v>540</v>
      </c>
      <c r="H518" s="88"/>
      <c r="I518" s="88"/>
      <c r="J518" s="1061"/>
      <c r="K518" s="1061"/>
      <c r="L518" s="1061"/>
      <c r="M518" s="1125"/>
      <c r="N518" s="2520">
        <f>N519</f>
        <v>19.20834</v>
      </c>
      <c r="O518" s="2541"/>
      <c r="P518" s="2542"/>
      <c r="Q518" s="2543"/>
      <c r="R518" s="2544"/>
      <c r="S518" s="2514"/>
      <c r="T518" s="2514"/>
      <c r="U518" s="2514"/>
      <c r="V518" s="2520">
        <f>V519</f>
        <v>0</v>
      </c>
      <c r="W518" s="2520">
        <f>W519</f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42.65" customHeight="1" x14ac:dyDescent="0.3">
      <c r="A519" s="32"/>
      <c r="B519" s="2066" t="s">
        <v>105</v>
      </c>
      <c r="C519" s="88"/>
      <c r="D519" s="88"/>
      <c r="E519" s="88"/>
      <c r="F519" s="112" t="s">
        <v>146</v>
      </c>
      <c r="G519" s="88">
        <v>540</v>
      </c>
      <c r="H519" s="88"/>
      <c r="I519" s="88" t="s">
        <v>103</v>
      </c>
      <c r="J519" s="1061"/>
      <c r="K519" s="1061"/>
      <c r="L519" s="1061"/>
      <c r="M519" s="1125"/>
      <c r="N519" s="2520">
        <v>19.20834</v>
      </c>
      <c r="O519" s="2541"/>
      <c r="P519" s="2542"/>
      <c r="Q519" s="2543"/>
      <c r="R519" s="2544"/>
      <c r="S519" s="2514"/>
      <c r="T519" s="2514"/>
      <c r="U519" s="2514"/>
      <c r="V519" s="2520">
        <v>0</v>
      </c>
      <c r="W519" s="2520"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42.65" hidden="1" customHeight="1" x14ac:dyDescent="0.25">
      <c r="A520" s="32"/>
      <c r="B520" s="1120" t="s">
        <v>145</v>
      </c>
      <c r="C520" s="88"/>
      <c r="D520" s="88"/>
      <c r="E520" s="88"/>
      <c r="F520" s="113" t="s">
        <v>144</v>
      </c>
      <c r="G520" s="94"/>
      <c r="H520" s="94"/>
      <c r="I520" s="94"/>
      <c r="J520" s="1064">
        <f>J521</f>
        <v>169.6</v>
      </c>
      <c r="K520" s="1064"/>
      <c r="L520" s="1064"/>
      <c r="M520" s="1552"/>
      <c r="N520" s="2549">
        <f t="shared" ref="N520:R521" si="242">N521</f>
        <v>0</v>
      </c>
      <c r="O520" s="2550">
        <f t="shared" si="242"/>
        <v>0</v>
      </c>
      <c r="P520" s="2551">
        <f t="shared" si="242"/>
        <v>0</v>
      </c>
      <c r="Q520" s="2552">
        <f t="shared" si="242"/>
        <v>0</v>
      </c>
      <c r="R520" s="2553">
        <f t="shared" si="242"/>
        <v>0</v>
      </c>
      <c r="S520" s="2514"/>
      <c r="T520" s="2514"/>
      <c r="U520" s="2514"/>
      <c r="V520" s="2549">
        <f t="shared" ref="V520:W521" si="243">V521</f>
        <v>0</v>
      </c>
      <c r="W520" s="2549">
        <f t="shared" si="243"/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42.65" hidden="1" customHeight="1" x14ac:dyDescent="0.25">
      <c r="A521" s="32"/>
      <c r="B521" s="1120" t="s">
        <v>130</v>
      </c>
      <c r="C521" s="88"/>
      <c r="D521" s="88"/>
      <c r="E521" s="88"/>
      <c r="F521" s="112" t="s">
        <v>144</v>
      </c>
      <c r="G521" s="88">
        <v>540</v>
      </c>
      <c r="H521" s="88"/>
      <c r="I521" s="88"/>
      <c r="J521" s="1061">
        <f>J522</f>
        <v>169.6</v>
      </c>
      <c r="K521" s="1061"/>
      <c r="L521" s="1061"/>
      <c r="M521" s="1125"/>
      <c r="N521" s="2520">
        <f t="shared" si="242"/>
        <v>0</v>
      </c>
      <c r="O521" s="2541">
        <f t="shared" si="242"/>
        <v>0</v>
      </c>
      <c r="P521" s="2542">
        <f t="shared" si="242"/>
        <v>0</v>
      </c>
      <c r="Q521" s="2543">
        <f t="shared" si="242"/>
        <v>0</v>
      </c>
      <c r="R521" s="2544">
        <f t="shared" si="242"/>
        <v>0</v>
      </c>
      <c r="S521" s="2514"/>
      <c r="T521" s="2514"/>
      <c r="U521" s="2514"/>
      <c r="V521" s="2520">
        <f t="shared" si="243"/>
        <v>0</v>
      </c>
      <c r="W521" s="2520">
        <f t="shared" si="243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ht="42.65" hidden="1" customHeight="1" x14ac:dyDescent="0.3">
      <c r="A522" s="32"/>
      <c r="B522" s="2066" t="s">
        <v>105</v>
      </c>
      <c r="C522" s="88"/>
      <c r="D522" s="88"/>
      <c r="E522" s="88"/>
      <c r="F522" s="112" t="s">
        <v>144</v>
      </c>
      <c r="G522" s="88">
        <v>540</v>
      </c>
      <c r="H522" s="9" t="s">
        <v>456</v>
      </c>
      <c r="I522" s="33" t="s">
        <v>452</v>
      </c>
      <c r="J522" s="1061">
        <v>169.6</v>
      </c>
      <c r="K522" s="1061"/>
      <c r="L522" s="1061"/>
      <c r="M522" s="1125"/>
      <c r="N522" s="2520">
        <v>0</v>
      </c>
      <c r="O522" s="2541"/>
      <c r="P522" s="2542"/>
      <c r="Q522" s="2543">
        <v>0</v>
      </c>
      <c r="R522" s="2544">
        <v>0</v>
      </c>
      <c r="S522" s="2514"/>
      <c r="T522" s="2514"/>
      <c r="U522" s="2514"/>
      <c r="V522" s="2520">
        <v>0</v>
      </c>
      <c r="W522" s="2520"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ht="42.65" hidden="1" customHeight="1" x14ac:dyDescent="0.25">
      <c r="A523" s="32"/>
      <c r="B523" s="1093" t="s">
        <v>111</v>
      </c>
      <c r="C523" s="88"/>
      <c r="D523" s="88"/>
      <c r="E523" s="88"/>
      <c r="F523" s="34" t="s">
        <v>110</v>
      </c>
      <c r="G523" s="88"/>
      <c r="H523" s="88"/>
      <c r="I523" s="88"/>
      <c r="J523" s="1064">
        <f>J524</f>
        <v>0</v>
      </c>
      <c r="K523" s="1061"/>
      <c r="L523" s="1061"/>
      <c r="M523" s="1125"/>
      <c r="N523" s="2549">
        <f t="shared" ref="N523:R526" si="244">N524</f>
        <v>0</v>
      </c>
      <c r="O523" s="2550">
        <f t="shared" si="244"/>
        <v>0</v>
      </c>
      <c r="P523" s="2551">
        <f t="shared" si="244"/>
        <v>0</v>
      </c>
      <c r="Q523" s="2552">
        <f t="shared" si="244"/>
        <v>0</v>
      </c>
      <c r="R523" s="2553">
        <f t="shared" si="244"/>
        <v>0</v>
      </c>
      <c r="S523" s="2514"/>
      <c r="T523" s="2514"/>
      <c r="U523" s="2514"/>
      <c r="V523" s="2549">
        <f t="shared" ref="V523:W526" si="245">V524</f>
        <v>0</v>
      </c>
      <c r="W523" s="2549">
        <f t="shared" si="245"/>
        <v>0</v>
      </c>
    </row>
    <row r="524" spans="1:256" ht="42.65" hidden="1" customHeight="1" x14ac:dyDescent="0.25">
      <c r="A524" s="32"/>
      <c r="B524" s="1093" t="s">
        <v>109</v>
      </c>
      <c r="C524" s="88"/>
      <c r="D524" s="88"/>
      <c r="E524" s="88"/>
      <c r="F524" s="9" t="s">
        <v>108</v>
      </c>
      <c r="G524" s="88"/>
      <c r="H524" s="88"/>
      <c r="I524" s="88"/>
      <c r="J524" s="1061">
        <f>J525</f>
        <v>0</v>
      </c>
      <c r="K524" s="1061"/>
      <c r="L524" s="1061"/>
      <c r="M524" s="1125"/>
      <c r="N524" s="2520">
        <f t="shared" si="244"/>
        <v>0</v>
      </c>
      <c r="O524" s="2541">
        <f t="shared" si="244"/>
        <v>0</v>
      </c>
      <c r="P524" s="2542">
        <f t="shared" si="244"/>
        <v>0</v>
      </c>
      <c r="Q524" s="2543">
        <f t="shared" si="244"/>
        <v>0</v>
      </c>
      <c r="R524" s="2544">
        <f t="shared" si="244"/>
        <v>0</v>
      </c>
      <c r="S524" s="2514"/>
      <c r="T524" s="2514"/>
      <c r="U524" s="2514"/>
      <c r="V524" s="2520">
        <f t="shared" si="245"/>
        <v>0</v>
      </c>
      <c r="W524" s="2520">
        <f t="shared" si="245"/>
        <v>0</v>
      </c>
    </row>
    <row r="525" spans="1:256" ht="42.65" hidden="1" customHeight="1" x14ac:dyDescent="0.25">
      <c r="A525" s="32"/>
      <c r="B525" s="49" t="s">
        <v>107</v>
      </c>
      <c r="C525" s="88" t="s">
        <v>106</v>
      </c>
      <c r="D525" s="88" t="s">
        <v>69</v>
      </c>
      <c r="E525" s="88" t="s">
        <v>103</v>
      </c>
      <c r="F525" s="9" t="s">
        <v>104</v>
      </c>
      <c r="G525" s="9"/>
      <c r="H525" s="9"/>
      <c r="I525" s="88"/>
      <c r="J525" s="1060">
        <f>J526</f>
        <v>0</v>
      </c>
      <c r="K525" s="1059"/>
      <c r="L525" s="1059">
        <f>L526</f>
        <v>1223.8879999999999</v>
      </c>
      <c r="M525" s="1555">
        <f>M526</f>
        <v>1309.56</v>
      </c>
      <c r="N525" s="2597">
        <f t="shared" si="244"/>
        <v>0</v>
      </c>
      <c r="O525" s="2510">
        <f t="shared" si="244"/>
        <v>0</v>
      </c>
      <c r="P525" s="2511">
        <f t="shared" si="244"/>
        <v>0</v>
      </c>
      <c r="Q525" s="2512">
        <f t="shared" si="244"/>
        <v>0</v>
      </c>
      <c r="R525" s="2513">
        <f t="shared" si="244"/>
        <v>0</v>
      </c>
      <c r="S525" s="2514"/>
      <c r="T525" s="2514"/>
      <c r="U525" s="2514"/>
      <c r="V525" s="2597">
        <f t="shared" si="245"/>
        <v>0</v>
      </c>
      <c r="W525" s="2597">
        <f t="shared" si="245"/>
        <v>0</v>
      </c>
    </row>
    <row r="526" spans="1:256" ht="42.65" hidden="1" customHeight="1" x14ac:dyDescent="0.3">
      <c r="A526" s="32"/>
      <c r="B526" s="744" t="s">
        <v>7</v>
      </c>
      <c r="C526" s="88"/>
      <c r="D526" s="88" t="s">
        <v>69</v>
      </c>
      <c r="E526" s="88" t="s">
        <v>103</v>
      </c>
      <c r="F526" s="9" t="s">
        <v>104</v>
      </c>
      <c r="G526" s="88">
        <v>120</v>
      </c>
      <c r="H526" s="88"/>
      <c r="I526" s="88"/>
      <c r="J526" s="1060">
        <f>J527</f>
        <v>0</v>
      </c>
      <c r="K526" s="1060"/>
      <c r="L526" s="1061">
        <v>1223.8879999999999</v>
      </c>
      <c r="M526" s="1550">
        <v>1309.56</v>
      </c>
      <c r="N526" s="2597">
        <f t="shared" si="244"/>
        <v>0</v>
      </c>
      <c r="O526" s="2510">
        <f t="shared" si="244"/>
        <v>0</v>
      </c>
      <c r="P526" s="2511">
        <f t="shared" si="244"/>
        <v>0</v>
      </c>
      <c r="Q526" s="2512">
        <f t="shared" si="244"/>
        <v>0</v>
      </c>
      <c r="R526" s="2513">
        <f t="shared" si="244"/>
        <v>0</v>
      </c>
      <c r="S526" s="2514"/>
      <c r="T526" s="2514"/>
      <c r="U526" s="2514"/>
      <c r="V526" s="2597">
        <f t="shared" si="245"/>
        <v>0</v>
      </c>
      <c r="W526" s="2597">
        <f t="shared" si="245"/>
        <v>0</v>
      </c>
    </row>
    <row r="527" spans="1:256" ht="42.65" hidden="1" customHeight="1" x14ac:dyDescent="0.3">
      <c r="A527" s="32"/>
      <c r="B527" s="2066" t="s">
        <v>105</v>
      </c>
      <c r="C527" s="88"/>
      <c r="D527" s="88"/>
      <c r="E527" s="88"/>
      <c r="F527" s="9" t="s">
        <v>104</v>
      </c>
      <c r="G527" s="88">
        <v>120</v>
      </c>
      <c r="H527" s="88"/>
      <c r="I527" s="88" t="s">
        <v>103</v>
      </c>
      <c r="J527" s="1060"/>
      <c r="K527" s="1060"/>
      <c r="L527" s="1061">
        <v>1223.8879999999999</v>
      </c>
      <c r="M527" s="1550">
        <v>1309.56</v>
      </c>
      <c r="N527" s="2597"/>
      <c r="O527" s="2510"/>
      <c r="P527" s="2511"/>
      <c r="Q527" s="2512"/>
      <c r="R527" s="2513"/>
      <c r="S527" s="2514"/>
      <c r="T527" s="2514"/>
      <c r="U527" s="2514"/>
      <c r="V527" s="2597"/>
      <c r="W527" s="2597"/>
    </row>
    <row r="528" spans="1:256" ht="42.65" hidden="1" customHeight="1" x14ac:dyDescent="0.25">
      <c r="A528" s="32"/>
      <c r="B528" s="90" t="s">
        <v>784</v>
      </c>
      <c r="C528" s="88"/>
      <c r="D528" s="88" t="s">
        <v>69</v>
      </c>
      <c r="E528" s="88" t="s">
        <v>103</v>
      </c>
      <c r="F528" s="34" t="s">
        <v>141</v>
      </c>
      <c r="G528" s="9"/>
      <c r="H528" s="9"/>
      <c r="I528" s="88"/>
      <c r="J528" s="1065">
        <f>J529</f>
        <v>0</v>
      </c>
      <c r="K528" s="1065"/>
      <c r="L528" s="1065">
        <f t="shared" ref="L528:R528" si="246">L529</f>
        <v>171.8</v>
      </c>
      <c r="M528" s="1552">
        <f t="shared" si="246"/>
        <v>171.8</v>
      </c>
      <c r="N528" s="2549">
        <f t="shared" si="246"/>
        <v>0</v>
      </c>
      <c r="O528" s="2550">
        <f t="shared" si="246"/>
        <v>0</v>
      </c>
      <c r="P528" s="2551">
        <f t="shared" si="246"/>
        <v>0</v>
      </c>
      <c r="Q528" s="2552">
        <f t="shared" si="246"/>
        <v>0</v>
      </c>
      <c r="R528" s="2553">
        <f t="shared" si="246"/>
        <v>0</v>
      </c>
      <c r="S528" s="2514"/>
      <c r="T528" s="2514"/>
      <c r="U528" s="2514"/>
      <c r="V528" s="2549">
        <f t="shared" ref="V528:W528" si="247">V529</f>
        <v>0</v>
      </c>
      <c r="W528" s="2549">
        <f t="shared" si="247"/>
        <v>0</v>
      </c>
    </row>
    <row r="529" spans="1:256" ht="42.65" hidden="1" customHeight="1" x14ac:dyDescent="0.3">
      <c r="A529" s="32"/>
      <c r="B529" s="744" t="s">
        <v>142</v>
      </c>
      <c r="C529" s="88"/>
      <c r="D529" s="88" t="s">
        <v>69</v>
      </c>
      <c r="E529" s="88" t="s">
        <v>103</v>
      </c>
      <c r="F529" s="9" t="s">
        <v>141</v>
      </c>
      <c r="G529" s="9" t="s">
        <v>140</v>
      </c>
      <c r="H529" s="9"/>
      <c r="I529" s="88"/>
      <c r="J529" s="1063">
        <f>J530</f>
        <v>0</v>
      </c>
      <c r="K529" s="1063"/>
      <c r="L529" s="1063">
        <v>171.8</v>
      </c>
      <c r="M529" s="1125">
        <v>171.8</v>
      </c>
      <c r="N529" s="2520">
        <f>N530</f>
        <v>0</v>
      </c>
      <c r="O529" s="2541">
        <f>O530</f>
        <v>0</v>
      </c>
      <c r="P529" s="2542">
        <f>P530</f>
        <v>0</v>
      </c>
      <c r="Q529" s="2543">
        <f>Q530</f>
        <v>0</v>
      </c>
      <c r="R529" s="2544">
        <f>R530</f>
        <v>0</v>
      </c>
      <c r="S529" s="2514"/>
      <c r="T529" s="2514"/>
      <c r="U529" s="2514"/>
      <c r="V529" s="2520">
        <f>V530</f>
        <v>0</v>
      </c>
      <c r="W529" s="2520">
        <f>W530</f>
        <v>0</v>
      </c>
    </row>
    <row r="530" spans="1:256" ht="42.65" hidden="1" customHeight="1" x14ac:dyDescent="0.3">
      <c r="A530" s="32"/>
      <c r="B530" s="2066" t="s">
        <v>105</v>
      </c>
      <c r="C530" s="88"/>
      <c r="D530" s="88"/>
      <c r="E530" s="88"/>
      <c r="F530" s="9" t="s">
        <v>141</v>
      </c>
      <c r="G530" s="9" t="s">
        <v>140</v>
      </c>
      <c r="H530" s="9"/>
      <c r="I530" s="88" t="s">
        <v>103</v>
      </c>
      <c r="J530" s="1063"/>
      <c r="K530" s="1063"/>
      <c r="L530" s="1063">
        <v>171.8</v>
      </c>
      <c r="M530" s="1125">
        <v>171.8</v>
      </c>
      <c r="N530" s="2520"/>
      <c r="O530" s="2541"/>
      <c r="P530" s="2542"/>
      <c r="Q530" s="2543"/>
      <c r="R530" s="2544"/>
      <c r="S530" s="2514"/>
      <c r="T530" s="2514"/>
      <c r="U530" s="2514"/>
      <c r="V530" s="2520"/>
      <c r="W530" s="2520"/>
    </row>
    <row r="531" spans="1:256" ht="42.65" hidden="1" customHeight="1" x14ac:dyDescent="0.25">
      <c r="A531" s="32"/>
      <c r="B531" s="111" t="s">
        <v>785</v>
      </c>
      <c r="C531" s="88"/>
      <c r="D531" s="9" t="s">
        <v>69</v>
      </c>
      <c r="E531" s="9" t="s">
        <v>103</v>
      </c>
      <c r="F531" s="34" t="s">
        <v>136</v>
      </c>
      <c r="G531" s="9"/>
      <c r="H531" s="9"/>
      <c r="I531" s="9"/>
      <c r="J531" s="1065">
        <f>J533</f>
        <v>0</v>
      </c>
      <c r="K531" s="1065"/>
      <c r="L531" s="1065">
        <f t="shared" ref="L531:R531" si="248">L533</f>
        <v>263</v>
      </c>
      <c r="M531" s="1552">
        <f t="shared" si="248"/>
        <v>263</v>
      </c>
      <c r="N531" s="2549">
        <f t="shared" si="248"/>
        <v>0</v>
      </c>
      <c r="O531" s="2550">
        <f t="shared" si="248"/>
        <v>0</v>
      </c>
      <c r="P531" s="2551">
        <f t="shared" si="248"/>
        <v>0</v>
      </c>
      <c r="Q531" s="2552">
        <f t="shared" si="248"/>
        <v>0</v>
      </c>
      <c r="R531" s="2553">
        <f t="shared" si="248"/>
        <v>0</v>
      </c>
      <c r="S531" s="2514"/>
      <c r="T531" s="2514"/>
      <c r="U531" s="2514"/>
      <c r="V531" s="2549">
        <f t="shared" ref="V531:W531" si="249">V533</f>
        <v>0</v>
      </c>
      <c r="W531" s="2549">
        <f t="shared" si="249"/>
        <v>0</v>
      </c>
    </row>
    <row r="532" spans="1:256" ht="42.65" hidden="1" customHeight="1" x14ac:dyDescent="0.25">
      <c r="A532" s="32"/>
      <c r="B532" s="42" t="s">
        <v>138</v>
      </c>
      <c r="C532" s="9"/>
      <c r="D532" s="9" t="s">
        <v>69</v>
      </c>
      <c r="E532" s="9" t="s">
        <v>103</v>
      </c>
      <c r="F532" s="9" t="s">
        <v>137</v>
      </c>
      <c r="G532" s="9"/>
      <c r="H532" s="9"/>
      <c r="I532" s="9" t="s">
        <v>103</v>
      </c>
      <c r="J532" s="1062"/>
      <c r="K532" s="1062"/>
      <c r="L532" s="1062"/>
      <c r="M532" s="1556"/>
      <c r="N532" s="2597"/>
      <c r="O532" s="2510"/>
      <c r="P532" s="2511"/>
      <c r="Q532" s="2512"/>
      <c r="R532" s="2513"/>
      <c r="S532" s="2514"/>
      <c r="T532" s="2514"/>
      <c r="U532" s="2514"/>
      <c r="V532" s="2597"/>
      <c r="W532" s="2597"/>
    </row>
    <row r="533" spans="1:256" ht="42.65" hidden="1" customHeight="1" x14ac:dyDescent="0.3">
      <c r="A533" s="32"/>
      <c r="B533" s="744" t="s">
        <v>123</v>
      </c>
      <c r="C533" s="9"/>
      <c r="D533" s="9" t="s">
        <v>69</v>
      </c>
      <c r="E533" s="9" t="s">
        <v>103</v>
      </c>
      <c r="F533" s="9" t="s">
        <v>136</v>
      </c>
      <c r="G533" s="9" t="s">
        <v>120</v>
      </c>
      <c r="H533" s="9"/>
      <c r="I533" s="9"/>
      <c r="J533" s="1062">
        <f>J534</f>
        <v>0</v>
      </c>
      <c r="K533" s="1062"/>
      <c r="L533" s="1062">
        <v>263</v>
      </c>
      <c r="M533" s="1556">
        <v>263</v>
      </c>
      <c r="N533" s="2597">
        <f>N534</f>
        <v>0</v>
      </c>
      <c r="O533" s="2510">
        <f>O534</f>
        <v>0</v>
      </c>
      <c r="P533" s="2511">
        <f>P534</f>
        <v>0</v>
      </c>
      <c r="Q533" s="2512">
        <f>Q534</f>
        <v>0</v>
      </c>
      <c r="R533" s="2513">
        <f>R534</f>
        <v>0</v>
      </c>
      <c r="S533" s="2514"/>
      <c r="T533" s="2514"/>
      <c r="U533" s="2514"/>
      <c r="V533" s="2597">
        <f>V534</f>
        <v>0</v>
      </c>
      <c r="W533" s="2597">
        <f>W534</f>
        <v>0</v>
      </c>
    </row>
    <row r="534" spans="1:256" ht="42.65" hidden="1" customHeight="1" x14ac:dyDescent="0.3">
      <c r="A534" s="32"/>
      <c r="B534" s="2066" t="s">
        <v>105</v>
      </c>
      <c r="C534" s="9"/>
      <c r="D534" s="9"/>
      <c r="E534" s="9"/>
      <c r="F534" s="9" t="s">
        <v>136</v>
      </c>
      <c r="G534" s="9" t="s">
        <v>120</v>
      </c>
      <c r="H534" s="9"/>
      <c r="I534" s="9" t="s">
        <v>103</v>
      </c>
      <c r="J534" s="1062"/>
      <c r="K534" s="1062"/>
      <c r="L534" s="1062">
        <v>263</v>
      </c>
      <c r="M534" s="1556">
        <v>263</v>
      </c>
      <c r="N534" s="2597"/>
      <c r="O534" s="2510"/>
      <c r="P534" s="2511"/>
      <c r="Q534" s="2512"/>
      <c r="R534" s="2513"/>
      <c r="S534" s="2514"/>
      <c r="T534" s="2514"/>
      <c r="U534" s="2514"/>
      <c r="V534" s="2597"/>
      <c r="W534" s="2597"/>
    </row>
    <row r="535" spans="1:256" ht="42.65" hidden="1" customHeight="1" x14ac:dyDescent="0.25">
      <c r="A535" s="32"/>
      <c r="B535" s="110" t="s">
        <v>786</v>
      </c>
      <c r="C535" s="9"/>
      <c r="D535" s="9" t="s">
        <v>69</v>
      </c>
      <c r="E535" s="9" t="s">
        <v>103</v>
      </c>
      <c r="F535" s="34" t="s">
        <v>132</v>
      </c>
      <c r="G535" s="9"/>
      <c r="H535" s="9"/>
      <c r="I535" s="9"/>
      <c r="J535" s="1058">
        <f>J536</f>
        <v>0</v>
      </c>
      <c r="K535" s="1058"/>
      <c r="L535" s="1058">
        <f t="shared" ref="L535:R535" si="250">L536</f>
        <v>130.1</v>
      </c>
      <c r="M535" s="1555">
        <f t="shared" si="250"/>
        <v>130.1</v>
      </c>
      <c r="N535" s="2603">
        <f t="shared" si="250"/>
        <v>0</v>
      </c>
      <c r="O535" s="2599">
        <f t="shared" si="250"/>
        <v>0</v>
      </c>
      <c r="P535" s="2600">
        <f t="shared" si="250"/>
        <v>0</v>
      </c>
      <c r="Q535" s="2601">
        <f t="shared" si="250"/>
        <v>0</v>
      </c>
      <c r="R535" s="2602">
        <f t="shared" si="250"/>
        <v>0</v>
      </c>
      <c r="S535" s="2514"/>
      <c r="T535" s="2514"/>
      <c r="U535" s="2514"/>
      <c r="V535" s="2603">
        <f t="shared" ref="V535:W535" si="251">V536</f>
        <v>0</v>
      </c>
      <c r="W535" s="2603">
        <f t="shared" si="251"/>
        <v>0</v>
      </c>
    </row>
    <row r="536" spans="1:256" ht="42.65" hidden="1" customHeight="1" x14ac:dyDescent="0.3">
      <c r="A536" s="32"/>
      <c r="B536" s="744" t="s">
        <v>123</v>
      </c>
      <c r="C536" s="9"/>
      <c r="D536" s="9" t="s">
        <v>69</v>
      </c>
      <c r="E536" s="9" t="s">
        <v>103</v>
      </c>
      <c r="F536" s="9" t="s">
        <v>132</v>
      </c>
      <c r="G536" s="9" t="s">
        <v>120</v>
      </c>
      <c r="H536" s="9"/>
      <c r="I536" s="9"/>
      <c r="J536" s="1062">
        <f>J538</f>
        <v>0</v>
      </c>
      <c r="K536" s="1062"/>
      <c r="L536" s="1062">
        <v>130.1</v>
      </c>
      <c r="M536" s="1556">
        <v>130.1</v>
      </c>
      <c r="N536" s="2597">
        <f>N538</f>
        <v>0</v>
      </c>
      <c r="O536" s="2510">
        <f>O538</f>
        <v>0</v>
      </c>
      <c r="P536" s="2511">
        <f>P538</f>
        <v>0</v>
      </c>
      <c r="Q536" s="2512">
        <f>Q538</f>
        <v>0</v>
      </c>
      <c r="R536" s="2513">
        <f>R538</f>
        <v>0</v>
      </c>
      <c r="S536" s="2514"/>
      <c r="T536" s="2514"/>
      <c r="U536" s="2514"/>
      <c r="V536" s="2597">
        <f>V538</f>
        <v>0</v>
      </c>
      <c r="W536" s="2597">
        <f>W538</f>
        <v>0</v>
      </c>
    </row>
    <row r="537" spans="1:256" ht="42.65" hidden="1" customHeight="1" x14ac:dyDescent="0.25">
      <c r="A537" s="32"/>
      <c r="B537" s="109" t="s">
        <v>134</v>
      </c>
      <c r="C537" s="88"/>
      <c r="D537" s="88" t="s">
        <v>69</v>
      </c>
      <c r="E537" s="88" t="s">
        <v>103</v>
      </c>
      <c r="F537" s="9" t="s">
        <v>133</v>
      </c>
      <c r="G537" s="9"/>
      <c r="H537" s="9"/>
      <c r="I537" s="88" t="s">
        <v>103</v>
      </c>
      <c r="J537" s="1062"/>
      <c r="K537" s="1062"/>
      <c r="L537" s="1062"/>
      <c r="M537" s="1556"/>
      <c r="N537" s="2597"/>
      <c r="O537" s="2510"/>
      <c r="P537" s="2511"/>
      <c r="Q537" s="2512"/>
      <c r="R537" s="2513"/>
      <c r="S537" s="2514"/>
      <c r="T537" s="2514"/>
      <c r="U537" s="2514"/>
      <c r="V537" s="2597"/>
      <c r="W537" s="2597"/>
    </row>
    <row r="538" spans="1:256" s="6" customFormat="1" ht="42.65" hidden="1" customHeight="1" x14ac:dyDescent="0.3">
      <c r="A538" s="32"/>
      <c r="B538" s="2012" t="s">
        <v>105</v>
      </c>
      <c r="C538" s="88"/>
      <c r="D538" s="88"/>
      <c r="E538" s="88"/>
      <c r="F538" s="9" t="s">
        <v>132</v>
      </c>
      <c r="G538" s="9" t="s">
        <v>120</v>
      </c>
      <c r="H538" s="9"/>
      <c r="I538" s="9" t="s">
        <v>103</v>
      </c>
      <c r="J538" s="1062"/>
      <c r="K538" s="1062"/>
      <c r="L538" s="1062">
        <v>130.1</v>
      </c>
      <c r="M538" s="1556">
        <v>130.1</v>
      </c>
      <c r="N538" s="2597"/>
      <c r="O538" s="2510"/>
      <c r="P538" s="2511"/>
      <c r="Q538" s="2512"/>
      <c r="R538" s="2513"/>
      <c r="S538" s="2514"/>
      <c r="T538" s="2514"/>
      <c r="U538" s="2514"/>
      <c r="V538" s="2597"/>
      <c r="W538" s="2597"/>
      <c r="X538" s="750"/>
      <c r="Z538" s="2143"/>
    </row>
    <row r="539" spans="1:256" s="6" customFormat="1" ht="42.65" customHeight="1" x14ac:dyDescent="0.3">
      <c r="A539" s="32"/>
      <c r="B539" s="336" t="s">
        <v>131</v>
      </c>
      <c r="C539" s="88"/>
      <c r="D539" s="88"/>
      <c r="E539" s="88"/>
      <c r="F539" s="34" t="s">
        <v>129</v>
      </c>
      <c r="G539" s="34"/>
      <c r="H539" s="34"/>
      <c r="I539" s="34"/>
      <c r="J539" s="1058">
        <f>J542</f>
        <v>170.1</v>
      </c>
      <c r="K539" s="1058"/>
      <c r="L539" s="1058"/>
      <c r="M539" s="1555"/>
      <c r="N539" s="2603">
        <f>N541</f>
        <v>420.65</v>
      </c>
      <c r="O539" s="2599">
        <f>O542</f>
        <v>0</v>
      </c>
      <c r="P539" s="2600">
        <f>P542</f>
        <v>0</v>
      </c>
      <c r="Q539" s="2601"/>
      <c r="R539" s="2602"/>
      <c r="S539" s="2514"/>
      <c r="T539" s="2514"/>
      <c r="U539" s="2514"/>
      <c r="V539" s="2603">
        <f>V541</f>
        <v>0</v>
      </c>
      <c r="W539" s="2603">
        <f>W541</f>
        <v>0</v>
      </c>
      <c r="X539" s="750"/>
      <c r="Z539" s="2143"/>
    </row>
    <row r="540" spans="1:256" ht="13" x14ac:dyDescent="0.3">
      <c r="A540" s="32"/>
      <c r="B540" s="336" t="s">
        <v>1069</v>
      </c>
      <c r="C540" s="88"/>
      <c r="D540" s="88"/>
      <c r="E540" s="88"/>
      <c r="F540" s="9" t="s">
        <v>129</v>
      </c>
      <c r="G540" s="9" t="s">
        <v>1066</v>
      </c>
      <c r="H540" s="34"/>
      <c r="I540" s="34"/>
      <c r="J540" s="1058"/>
      <c r="K540" s="1058"/>
      <c r="L540" s="1058"/>
      <c r="M540" s="1555"/>
      <c r="N540" s="2597">
        <f>N541</f>
        <v>420.65</v>
      </c>
      <c r="O540" s="2599"/>
      <c r="P540" s="2600"/>
      <c r="Q540" s="2601"/>
      <c r="R540" s="2602"/>
      <c r="S540" s="2514"/>
      <c r="T540" s="2514"/>
      <c r="U540" s="2514"/>
      <c r="V540" s="2597">
        <f t="shared" ref="V540:W540" si="252">V541</f>
        <v>0</v>
      </c>
      <c r="W540" s="2597">
        <f t="shared" si="252"/>
        <v>0</v>
      </c>
    </row>
    <row r="541" spans="1:256" s="2" customFormat="1" ht="34.5" customHeight="1" x14ac:dyDescent="0.25">
      <c r="A541" s="32"/>
      <c r="B541" s="1120" t="s">
        <v>130</v>
      </c>
      <c r="C541" s="88"/>
      <c r="D541" s="88"/>
      <c r="E541" s="88"/>
      <c r="F541" s="9" t="s">
        <v>129</v>
      </c>
      <c r="G541" s="9" t="s">
        <v>120</v>
      </c>
      <c r="H541" s="9"/>
      <c r="I541" s="9"/>
      <c r="J541" s="1062"/>
      <c r="K541" s="1062"/>
      <c r="L541" s="1062"/>
      <c r="M541" s="1556"/>
      <c r="N541" s="2597">
        <f>N542</f>
        <v>420.65</v>
      </c>
      <c r="O541" s="2510">
        <f>O542</f>
        <v>0</v>
      </c>
      <c r="P541" s="2511">
        <f>P542</f>
        <v>0</v>
      </c>
      <c r="Q541" s="2512"/>
      <c r="R541" s="2513"/>
      <c r="S541" s="2514"/>
      <c r="T541" s="2514"/>
      <c r="U541" s="2514"/>
      <c r="V541" s="2597">
        <f>V542</f>
        <v>0</v>
      </c>
      <c r="W541" s="2597">
        <f>W542</f>
        <v>0</v>
      </c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42" customHeight="1" x14ac:dyDescent="0.3">
      <c r="A542" s="32"/>
      <c r="B542" s="2012" t="s">
        <v>122</v>
      </c>
      <c r="C542" s="88"/>
      <c r="D542" s="88"/>
      <c r="E542" s="88"/>
      <c r="F542" s="9" t="s">
        <v>129</v>
      </c>
      <c r="G542" s="9" t="s">
        <v>120</v>
      </c>
      <c r="H542" s="9" t="s">
        <v>456</v>
      </c>
      <c r="I542" s="33" t="s">
        <v>585</v>
      </c>
      <c r="J542" s="1062">
        <v>170.1</v>
      </c>
      <c r="K542" s="1062"/>
      <c r="L542" s="1062"/>
      <c r="M542" s="1556"/>
      <c r="N542" s="2597">
        <v>420.65</v>
      </c>
      <c r="O542" s="2510"/>
      <c r="P542" s="2511"/>
      <c r="Q542" s="2512"/>
      <c r="R542" s="2513"/>
      <c r="S542" s="2514"/>
      <c r="T542" s="2514"/>
      <c r="U542" s="2514"/>
      <c r="V542" s="2597">
        <v>0</v>
      </c>
      <c r="W542" s="2597">
        <v>0</v>
      </c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39" x14ac:dyDescent="0.25">
      <c r="A543" s="32"/>
      <c r="B543" s="107" t="s">
        <v>128</v>
      </c>
      <c r="C543" s="88"/>
      <c r="D543" s="88" t="s">
        <v>69</v>
      </c>
      <c r="E543" s="88" t="s">
        <v>103</v>
      </c>
      <c r="F543" s="34" t="s">
        <v>127</v>
      </c>
      <c r="G543" s="9"/>
      <c r="H543" s="9"/>
      <c r="I543" s="88"/>
      <c r="J543" s="1058">
        <f>J544+J547</f>
        <v>547.5</v>
      </c>
      <c r="K543" s="1058"/>
      <c r="L543" s="1058">
        <f t="shared" ref="L543:R543" si="253">L544+L547</f>
        <v>546.70000000000005</v>
      </c>
      <c r="M543" s="1555">
        <f t="shared" si="253"/>
        <v>546.70000000000005</v>
      </c>
      <c r="N543" s="2960">
        <f>N547</f>
        <v>7.04</v>
      </c>
      <c r="O543" s="2604">
        <f t="shared" si="253"/>
        <v>37.200000000000003</v>
      </c>
      <c r="P543" s="2605">
        <f t="shared" si="253"/>
        <v>37.200000000000003</v>
      </c>
      <c r="Q543" s="2606">
        <f t="shared" si="253"/>
        <v>7.1</v>
      </c>
      <c r="R543" s="2607">
        <f t="shared" si="253"/>
        <v>7.1</v>
      </c>
      <c r="S543" s="2514">
        <v>-648.9</v>
      </c>
      <c r="T543" s="2514">
        <v>-648.9</v>
      </c>
      <c r="U543" s="2514">
        <v>-648.9</v>
      </c>
      <c r="V543" s="2960">
        <f>V547</f>
        <v>7.04</v>
      </c>
      <c r="W543" s="2960">
        <f>W547</f>
        <v>7.04</v>
      </c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68.5" hidden="1" customHeight="1" x14ac:dyDescent="0.3">
      <c r="A544" s="32"/>
      <c r="B544" s="2056" t="s">
        <v>7</v>
      </c>
      <c r="C544" s="88"/>
      <c r="D544" s="88" t="s">
        <v>69</v>
      </c>
      <c r="E544" s="88" t="s">
        <v>103</v>
      </c>
      <c r="F544" s="9" t="s">
        <v>127</v>
      </c>
      <c r="G544" s="9" t="s">
        <v>5</v>
      </c>
      <c r="H544" s="9"/>
      <c r="I544" s="88"/>
      <c r="J544" s="1062">
        <f>J545</f>
        <v>510.3</v>
      </c>
      <c r="K544" s="1062"/>
      <c r="L544" s="1062">
        <f>546.7-45.2</f>
        <v>501.50000000000006</v>
      </c>
      <c r="M544" s="1556">
        <f>546.7-45.2</f>
        <v>501.50000000000006</v>
      </c>
      <c r="N544" s="2597">
        <f>N545</f>
        <v>0</v>
      </c>
      <c r="O544" s="2510">
        <f>O545</f>
        <v>0</v>
      </c>
      <c r="P544" s="2511">
        <f>P545</f>
        <v>0</v>
      </c>
      <c r="Q544" s="2512">
        <f>Q545</f>
        <v>0</v>
      </c>
      <c r="R544" s="2513">
        <f>R545</f>
        <v>0</v>
      </c>
      <c r="S544" s="2514"/>
      <c r="T544" s="2514"/>
      <c r="U544" s="2514"/>
      <c r="V544" s="2597">
        <f>V545</f>
        <v>0</v>
      </c>
      <c r="W544" s="2597">
        <f>W545</f>
        <v>0</v>
      </c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3.9" hidden="1" customHeight="1" x14ac:dyDescent="0.25">
      <c r="A545" s="839"/>
      <c r="B545" s="52" t="s">
        <v>833</v>
      </c>
      <c r="C545" s="76"/>
      <c r="D545" s="76"/>
      <c r="E545" s="76"/>
      <c r="F545" s="9" t="s">
        <v>127</v>
      </c>
      <c r="G545" s="9" t="s">
        <v>5</v>
      </c>
      <c r="H545" s="9" t="s">
        <v>495</v>
      </c>
      <c r="I545" s="9" t="s">
        <v>832</v>
      </c>
      <c r="J545" s="1121">
        <f>392.863+117.437</f>
        <v>510.3</v>
      </c>
      <c r="K545" s="1121"/>
      <c r="L545" s="1121">
        <f>546.7-45.2</f>
        <v>501.50000000000006</v>
      </c>
      <c r="M545" s="1568">
        <f>546.7-45.2</f>
        <v>501.50000000000006</v>
      </c>
      <c r="N545" s="2597"/>
      <c r="O545" s="2608"/>
      <c r="P545" s="2609"/>
      <c r="Q545" s="2512"/>
      <c r="R545" s="2513"/>
      <c r="S545" s="2610"/>
      <c r="T545" s="2610"/>
      <c r="U545" s="2610"/>
      <c r="V545" s="2597"/>
      <c r="W545" s="2597"/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28.15" customHeight="1" x14ac:dyDescent="0.25">
      <c r="A546" s="839"/>
      <c r="B546" s="724" t="s">
        <v>948</v>
      </c>
      <c r="C546" s="76"/>
      <c r="D546" s="76"/>
      <c r="E546" s="76"/>
      <c r="F546" s="9" t="s">
        <v>127</v>
      </c>
      <c r="G546" s="9" t="s">
        <v>955</v>
      </c>
      <c r="H546" s="9"/>
      <c r="I546" s="9"/>
      <c r="J546" s="1121"/>
      <c r="K546" s="1121"/>
      <c r="L546" s="1121"/>
      <c r="M546" s="1568"/>
      <c r="N546" s="2597">
        <f>N547</f>
        <v>7.04</v>
      </c>
      <c r="O546" s="2608"/>
      <c r="P546" s="2609"/>
      <c r="Q546" s="2512"/>
      <c r="R546" s="2513"/>
      <c r="S546" s="2610"/>
      <c r="T546" s="2610"/>
      <c r="U546" s="2610"/>
      <c r="V546" s="2597">
        <f t="shared" ref="V546:W546" si="254">V547</f>
        <v>7.04</v>
      </c>
      <c r="W546" s="2597">
        <f t="shared" si="254"/>
        <v>7.04</v>
      </c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54.65" customHeight="1" x14ac:dyDescent="0.25">
      <c r="A547" s="32"/>
      <c r="B547" s="1993" t="s">
        <v>4</v>
      </c>
      <c r="C547" s="88"/>
      <c r="D547" s="88"/>
      <c r="E547" s="88"/>
      <c r="F547" s="9" t="s">
        <v>127</v>
      </c>
      <c r="G547" s="9" t="s">
        <v>1</v>
      </c>
      <c r="H547" s="9"/>
      <c r="I547" s="88"/>
      <c r="J547" s="1062">
        <f>J548</f>
        <v>37.200000000000003</v>
      </c>
      <c r="K547" s="1062"/>
      <c r="L547" s="1062">
        <v>45.2</v>
      </c>
      <c r="M547" s="1556">
        <v>45.2</v>
      </c>
      <c r="N547" s="2597">
        <f>N548</f>
        <v>7.04</v>
      </c>
      <c r="O547" s="2510">
        <f>O548</f>
        <v>37.200000000000003</v>
      </c>
      <c r="P547" s="2511">
        <f>P548</f>
        <v>37.200000000000003</v>
      </c>
      <c r="Q547" s="2512">
        <f>Q548</f>
        <v>7.1</v>
      </c>
      <c r="R547" s="2513">
        <f>R548</f>
        <v>7.1</v>
      </c>
      <c r="S547" s="2514"/>
      <c r="T547" s="2514"/>
      <c r="U547" s="2514"/>
      <c r="V547" s="2597">
        <f>V548</f>
        <v>7.04</v>
      </c>
      <c r="W547" s="2597">
        <f>W548</f>
        <v>7.04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28.15" customHeight="1" x14ac:dyDescent="0.25">
      <c r="A548" s="32"/>
      <c r="B548" s="52" t="s">
        <v>1070</v>
      </c>
      <c r="C548" s="88"/>
      <c r="D548" s="88"/>
      <c r="E548" s="88"/>
      <c r="F548" s="9" t="s">
        <v>127</v>
      </c>
      <c r="G548" s="9" t="s">
        <v>1</v>
      </c>
      <c r="H548" s="9" t="s">
        <v>495</v>
      </c>
      <c r="I548" s="9" t="s">
        <v>832</v>
      </c>
      <c r="J548" s="1062">
        <f>17.5+15.7+4</f>
        <v>37.200000000000003</v>
      </c>
      <c r="K548" s="1062"/>
      <c r="L548" s="1062">
        <v>45.2</v>
      </c>
      <c r="M548" s="1556">
        <v>45.2</v>
      </c>
      <c r="N548" s="2597">
        <f>7.1-0.06</f>
        <v>7.04</v>
      </c>
      <c r="O548" s="2510">
        <v>37.200000000000003</v>
      </c>
      <c r="P548" s="2511">
        <v>37.200000000000003</v>
      </c>
      <c r="Q548" s="2512">
        <v>7.1</v>
      </c>
      <c r="R548" s="2513">
        <v>7.1</v>
      </c>
      <c r="S548" s="2611">
        <v>7.1</v>
      </c>
      <c r="T548" s="2611">
        <v>7.1</v>
      </c>
      <c r="U548" s="2611">
        <v>7.1</v>
      </c>
      <c r="V548" s="2597">
        <f>7.1-0.06</f>
        <v>7.04</v>
      </c>
      <c r="W548" s="2597">
        <f>7.1-0.06</f>
        <v>7.04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8.15" hidden="1" customHeight="1" x14ac:dyDescent="0.25">
      <c r="A549" s="32"/>
      <c r="B549" s="52" t="s">
        <v>122</v>
      </c>
      <c r="C549" s="9"/>
      <c r="D549" s="94" t="s">
        <v>69</v>
      </c>
      <c r="E549" s="34" t="s">
        <v>119</v>
      </c>
      <c r="F549" s="94" t="s">
        <v>71</v>
      </c>
      <c r="G549" s="94" t="s">
        <v>71</v>
      </c>
      <c r="H549" s="94"/>
      <c r="I549" s="34"/>
      <c r="J549" s="1065">
        <f>J550</f>
        <v>0</v>
      </c>
      <c r="K549" s="1065"/>
      <c r="L549" s="1065">
        <f t="shared" ref="L549:R552" si="255">L550</f>
        <v>99.305000000000007</v>
      </c>
      <c r="M549" s="1552">
        <f t="shared" si="255"/>
        <v>99.305000000000007</v>
      </c>
      <c r="N549" s="2549">
        <f t="shared" si="255"/>
        <v>0</v>
      </c>
      <c r="O549" s="2550">
        <f t="shared" si="255"/>
        <v>0</v>
      </c>
      <c r="P549" s="2551">
        <f t="shared" si="255"/>
        <v>0</v>
      </c>
      <c r="Q549" s="2552">
        <f t="shared" si="255"/>
        <v>0</v>
      </c>
      <c r="R549" s="2553">
        <f t="shared" si="255"/>
        <v>0</v>
      </c>
      <c r="S549" s="2514"/>
      <c r="T549" s="2514"/>
      <c r="U549" s="2514"/>
      <c r="V549" s="2549">
        <f t="shared" ref="V549:W552" si="256">V550</f>
        <v>0</v>
      </c>
      <c r="W549" s="2549">
        <f t="shared" si="256"/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149999999999999" hidden="1" customHeight="1" x14ac:dyDescent="0.25">
      <c r="A550" s="32"/>
      <c r="B550" s="52" t="s">
        <v>126</v>
      </c>
      <c r="C550" s="9"/>
      <c r="D550" s="94" t="s">
        <v>69</v>
      </c>
      <c r="E550" s="94" t="s">
        <v>119</v>
      </c>
      <c r="F550" s="34" t="s">
        <v>125</v>
      </c>
      <c r="G550" s="79"/>
      <c r="H550" s="79"/>
      <c r="I550" s="94"/>
      <c r="J550" s="1065">
        <f>J551</f>
        <v>0</v>
      </c>
      <c r="K550" s="1065"/>
      <c r="L550" s="1065">
        <f t="shared" si="255"/>
        <v>99.305000000000007</v>
      </c>
      <c r="M550" s="1552">
        <f t="shared" si="255"/>
        <v>99.305000000000007</v>
      </c>
      <c r="N550" s="2549">
        <f t="shared" si="255"/>
        <v>0</v>
      </c>
      <c r="O550" s="2550">
        <f t="shared" si="255"/>
        <v>0</v>
      </c>
      <c r="P550" s="2551">
        <f t="shared" si="255"/>
        <v>0</v>
      </c>
      <c r="Q550" s="2552">
        <f t="shared" si="255"/>
        <v>0</v>
      </c>
      <c r="R550" s="2553">
        <f t="shared" si="255"/>
        <v>0</v>
      </c>
      <c r="S550" s="2514"/>
      <c r="T550" s="2514"/>
      <c r="U550" s="2514"/>
      <c r="V550" s="2549">
        <f t="shared" si="256"/>
        <v>0</v>
      </c>
      <c r="W550" s="2549">
        <f t="shared" si="25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s="2" customFormat="1" ht="40.15" hidden="1" customHeight="1" x14ac:dyDescent="0.25">
      <c r="A551" s="32"/>
      <c r="B551" s="105" t="s">
        <v>787</v>
      </c>
      <c r="C551" s="9"/>
      <c r="D551" s="88" t="s">
        <v>69</v>
      </c>
      <c r="E551" s="88" t="s">
        <v>119</v>
      </c>
      <c r="F551" s="34" t="s">
        <v>121</v>
      </c>
      <c r="G551" s="9"/>
      <c r="H551" s="9"/>
      <c r="I551" s="88"/>
      <c r="J551" s="1062">
        <f>J552</f>
        <v>0</v>
      </c>
      <c r="K551" s="1062"/>
      <c r="L551" s="1062">
        <f t="shared" si="255"/>
        <v>99.305000000000007</v>
      </c>
      <c r="M551" s="1556">
        <f t="shared" si="255"/>
        <v>99.305000000000007</v>
      </c>
      <c r="N551" s="2597">
        <f t="shared" si="255"/>
        <v>0</v>
      </c>
      <c r="O551" s="2510">
        <f t="shared" si="255"/>
        <v>0</v>
      </c>
      <c r="P551" s="2511">
        <f t="shared" si="255"/>
        <v>0</v>
      </c>
      <c r="Q551" s="2512">
        <f t="shared" si="255"/>
        <v>0</v>
      </c>
      <c r="R551" s="2513">
        <f t="shared" si="255"/>
        <v>0</v>
      </c>
      <c r="S551" s="2514"/>
      <c r="T551" s="2514"/>
      <c r="U551" s="2514"/>
      <c r="V551" s="2597">
        <f t="shared" si="256"/>
        <v>0</v>
      </c>
      <c r="W551" s="2597">
        <f t="shared" si="256"/>
        <v>0</v>
      </c>
      <c r="Y551" s="1"/>
      <c r="Z551" s="237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s="2" customFormat="1" ht="13" hidden="1" x14ac:dyDescent="0.3">
      <c r="A552" s="32"/>
      <c r="B552" s="2003" t="s">
        <v>123</v>
      </c>
      <c r="C552" s="9"/>
      <c r="D552" s="88" t="s">
        <v>69</v>
      </c>
      <c r="E552" s="88" t="s">
        <v>119</v>
      </c>
      <c r="F552" s="9" t="s">
        <v>121</v>
      </c>
      <c r="G552" s="9" t="s">
        <v>120</v>
      </c>
      <c r="H552" s="9"/>
      <c r="I552" s="88"/>
      <c r="J552" s="1062">
        <f>J553</f>
        <v>0</v>
      </c>
      <c r="K552" s="1062"/>
      <c r="L552" s="1062">
        <v>99.305000000000007</v>
      </c>
      <c r="M552" s="1556">
        <v>99.305000000000007</v>
      </c>
      <c r="N552" s="2597">
        <f t="shared" si="255"/>
        <v>0</v>
      </c>
      <c r="O552" s="2510">
        <f t="shared" si="255"/>
        <v>0</v>
      </c>
      <c r="P552" s="2511">
        <f t="shared" si="255"/>
        <v>0</v>
      </c>
      <c r="Q552" s="2512">
        <f t="shared" si="255"/>
        <v>0</v>
      </c>
      <c r="R552" s="2513">
        <f t="shared" si="255"/>
        <v>0</v>
      </c>
      <c r="S552" s="2514"/>
      <c r="T552" s="2514"/>
      <c r="U552" s="2514"/>
      <c r="V552" s="2597">
        <f t="shared" si="256"/>
        <v>0</v>
      </c>
      <c r="W552" s="2597">
        <f t="shared" si="256"/>
        <v>0</v>
      </c>
      <c r="Y552" s="1"/>
      <c r="Z552" s="237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s="2" customFormat="1" ht="21" hidden="1" customHeight="1" x14ac:dyDescent="0.3">
      <c r="A553" s="32"/>
      <c r="B553" s="2012" t="s">
        <v>122</v>
      </c>
      <c r="C553" s="9"/>
      <c r="D553" s="88"/>
      <c r="E553" s="88"/>
      <c r="F553" s="9" t="s">
        <v>121</v>
      </c>
      <c r="G553" s="9" t="s">
        <v>120</v>
      </c>
      <c r="H553" s="9"/>
      <c r="I553" s="88" t="s">
        <v>119</v>
      </c>
      <c r="J553" s="1062"/>
      <c r="K553" s="1062"/>
      <c r="L553" s="1062">
        <v>99.305000000000007</v>
      </c>
      <c r="M553" s="1556">
        <v>99.305000000000007</v>
      </c>
      <c r="N553" s="2597"/>
      <c r="O553" s="2510"/>
      <c r="P553" s="2511"/>
      <c r="Q553" s="2512"/>
      <c r="R553" s="2513"/>
      <c r="S553" s="2514"/>
      <c r="T553" s="2514"/>
      <c r="U553" s="2514"/>
      <c r="V553" s="2597"/>
      <c r="W553" s="2597"/>
      <c r="Y553" s="1"/>
      <c r="Z553" s="237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s="2" customFormat="1" ht="39" hidden="1" x14ac:dyDescent="0.25">
      <c r="A554" s="32"/>
      <c r="B554" s="1093" t="s">
        <v>118</v>
      </c>
      <c r="C554" s="9"/>
      <c r="D554" s="88"/>
      <c r="E554" s="88"/>
      <c r="F554" s="34" t="s">
        <v>117</v>
      </c>
      <c r="G554" s="9"/>
      <c r="H554" s="9"/>
      <c r="I554" s="88"/>
      <c r="J554" s="1062"/>
      <c r="K554" s="1062"/>
      <c r="L554" s="1062"/>
      <c r="M554" s="1556"/>
      <c r="N554" s="2597">
        <f>N555</f>
        <v>0</v>
      </c>
      <c r="O554" s="2510">
        <f t="shared" ref="O554:R557" si="257">O555</f>
        <v>659.56200000000001</v>
      </c>
      <c r="P554" s="2511">
        <f t="shared" si="257"/>
        <v>725.51900000000001</v>
      </c>
      <c r="Q554" s="2512">
        <f t="shared" si="257"/>
        <v>0</v>
      </c>
      <c r="R554" s="2513">
        <f t="shared" si="257"/>
        <v>0</v>
      </c>
      <c r="S554" s="2514"/>
      <c r="T554" s="2514"/>
      <c r="U554" s="2514"/>
      <c r="V554" s="2597">
        <f t="shared" ref="V554:W557" si="258">V555</f>
        <v>0</v>
      </c>
      <c r="W554" s="2597">
        <f t="shared" si="258"/>
        <v>0</v>
      </c>
      <c r="Y554" s="1"/>
      <c r="Z554" s="237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 s="2" customFormat="1" ht="40" hidden="1" customHeight="1" x14ac:dyDescent="0.25">
      <c r="A555" s="32"/>
      <c r="B555" s="1093" t="s">
        <v>109</v>
      </c>
      <c r="C555" s="9"/>
      <c r="D555" s="88"/>
      <c r="E555" s="88"/>
      <c r="F555" s="9" t="s">
        <v>116</v>
      </c>
      <c r="G555" s="9"/>
      <c r="H555" s="9"/>
      <c r="I555" s="88"/>
      <c r="J555" s="1062"/>
      <c r="K555" s="1062"/>
      <c r="L555" s="1062"/>
      <c r="M555" s="1556"/>
      <c r="N555" s="2597">
        <f>N556</f>
        <v>0</v>
      </c>
      <c r="O555" s="2510">
        <f t="shared" si="257"/>
        <v>659.56200000000001</v>
      </c>
      <c r="P555" s="2511">
        <f t="shared" si="257"/>
        <v>725.51900000000001</v>
      </c>
      <c r="Q555" s="2512">
        <f t="shared" si="257"/>
        <v>0</v>
      </c>
      <c r="R555" s="2513">
        <f t="shared" si="257"/>
        <v>0</v>
      </c>
      <c r="S555" s="2514"/>
      <c r="T555" s="2514"/>
      <c r="U555" s="2514"/>
      <c r="V555" s="2597">
        <f t="shared" si="258"/>
        <v>0</v>
      </c>
      <c r="W555" s="2597">
        <f t="shared" si="258"/>
        <v>0</v>
      </c>
      <c r="Y555" s="1"/>
      <c r="Z555" s="237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 s="2" customFormat="1" ht="26" hidden="1" x14ac:dyDescent="0.25">
      <c r="A556" s="32"/>
      <c r="B556" s="1110" t="s">
        <v>115</v>
      </c>
      <c r="C556" s="9"/>
      <c r="D556" s="88"/>
      <c r="E556" s="88"/>
      <c r="F556" s="9" t="s">
        <v>113</v>
      </c>
      <c r="G556" s="9"/>
      <c r="H556" s="9"/>
      <c r="I556" s="88"/>
      <c r="J556" s="1062"/>
      <c r="K556" s="1062"/>
      <c r="L556" s="1062"/>
      <c r="M556" s="1556"/>
      <c r="N556" s="2597">
        <f>N557</f>
        <v>0</v>
      </c>
      <c r="O556" s="2510">
        <f t="shared" si="257"/>
        <v>659.56200000000001</v>
      </c>
      <c r="P556" s="2511">
        <f t="shared" si="257"/>
        <v>725.51900000000001</v>
      </c>
      <c r="Q556" s="2512">
        <f t="shared" si="257"/>
        <v>0</v>
      </c>
      <c r="R556" s="2513">
        <f t="shared" si="257"/>
        <v>0</v>
      </c>
      <c r="S556" s="2514"/>
      <c r="T556" s="2514"/>
      <c r="U556" s="2514"/>
      <c r="V556" s="2597">
        <f t="shared" si="258"/>
        <v>0</v>
      </c>
      <c r="W556" s="2597">
        <f t="shared" si="258"/>
        <v>0</v>
      </c>
      <c r="Y556" s="1"/>
      <c r="Z556" s="237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 s="2" customFormat="1" ht="13" hidden="1" x14ac:dyDescent="0.3">
      <c r="A557" s="32"/>
      <c r="B557" s="744" t="s">
        <v>7</v>
      </c>
      <c r="C557" s="9"/>
      <c r="D557" s="88"/>
      <c r="E557" s="88"/>
      <c r="F557" s="9" t="s">
        <v>113</v>
      </c>
      <c r="G557" s="9" t="s">
        <v>5</v>
      </c>
      <c r="H557" s="9"/>
      <c r="I557" s="88"/>
      <c r="J557" s="1062"/>
      <c r="K557" s="1062"/>
      <c r="L557" s="1062"/>
      <c r="M557" s="1556"/>
      <c r="N557" s="2597">
        <f>N558</f>
        <v>0</v>
      </c>
      <c r="O557" s="2510">
        <f t="shared" si="257"/>
        <v>659.56200000000001</v>
      </c>
      <c r="P557" s="2511">
        <f t="shared" si="257"/>
        <v>725.51900000000001</v>
      </c>
      <c r="Q557" s="2512">
        <f t="shared" si="257"/>
        <v>0</v>
      </c>
      <c r="R557" s="2513">
        <f t="shared" si="257"/>
        <v>0</v>
      </c>
      <c r="S557" s="2514"/>
      <c r="T557" s="2514"/>
      <c r="U557" s="2514"/>
      <c r="V557" s="2597">
        <f t="shared" si="258"/>
        <v>0</v>
      </c>
      <c r="W557" s="2597">
        <f t="shared" si="258"/>
        <v>0</v>
      </c>
      <c r="Y557" s="1"/>
      <c r="Z557" s="237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 ht="39" hidden="1" x14ac:dyDescent="0.3">
      <c r="A558" s="32"/>
      <c r="B558" s="336" t="s">
        <v>114</v>
      </c>
      <c r="C558" s="9"/>
      <c r="D558" s="88"/>
      <c r="E558" s="88"/>
      <c r="F558" s="9" t="s">
        <v>113</v>
      </c>
      <c r="G558" s="9" t="s">
        <v>5</v>
      </c>
      <c r="H558" s="9" t="s">
        <v>456</v>
      </c>
      <c r="I558" s="9" t="s">
        <v>495</v>
      </c>
      <c r="J558" s="1062"/>
      <c r="K558" s="1062"/>
      <c r="L558" s="1062"/>
      <c r="M558" s="1556"/>
      <c r="N558" s="2961">
        <f>530.24-530.24</f>
        <v>0</v>
      </c>
      <c r="O558" s="2510">
        <v>659.56200000000001</v>
      </c>
      <c r="P558" s="2511">
        <v>725.51900000000001</v>
      </c>
      <c r="Q558" s="2612">
        <f>530.24-530.24</f>
        <v>0</v>
      </c>
      <c r="R558" s="2613">
        <f>530.24-530.24</f>
        <v>0</v>
      </c>
      <c r="S558" s="2514"/>
      <c r="T558" s="2514"/>
      <c r="U558" s="2514"/>
      <c r="V558" s="2961">
        <f>530.24-530.24</f>
        <v>0</v>
      </c>
      <c r="W558" s="2961">
        <f>530.24-530.24</f>
        <v>0</v>
      </c>
    </row>
    <row r="559" spans="1:256" ht="39" x14ac:dyDescent="0.25">
      <c r="A559" s="32"/>
      <c r="B559" s="1093" t="s">
        <v>111</v>
      </c>
      <c r="C559" s="88"/>
      <c r="D559" s="88"/>
      <c r="E559" s="88"/>
      <c r="F559" s="34" t="s">
        <v>110</v>
      </c>
      <c r="G559" s="88"/>
      <c r="H559" s="88"/>
      <c r="I559" s="88"/>
      <c r="J559" s="1064">
        <f>J560</f>
        <v>1183.2429999999999</v>
      </c>
      <c r="K559" s="1061"/>
      <c r="L559" s="1061"/>
      <c r="M559" s="1125"/>
      <c r="N559" s="2549">
        <f t="shared" ref="N559:R563" si="259">N560</f>
        <v>1594.0889999999999</v>
      </c>
      <c r="O559" s="2550">
        <f t="shared" si="259"/>
        <v>1627.663</v>
      </c>
      <c r="P559" s="2551">
        <f t="shared" si="259"/>
        <v>1782.7329999999999</v>
      </c>
      <c r="Q559" s="2552">
        <f t="shared" si="259"/>
        <v>1573.104</v>
      </c>
      <c r="R559" s="2553">
        <f t="shared" si="259"/>
        <v>1636.028</v>
      </c>
      <c r="S559" s="2514"/>
      <c r="T559" s="2514"/>
      <c r="U559" s="2514"/>
      <c r="V559" s="2549">
        <f t="shared" ref="V559:W563" si="260">V560</f>
        <v>1657.854</v>
      </c>
      <c r="W559" s="2549">
        <f t="shared" si="260"/>
        <v>1724.1669999999999</v>
      </c>
    </row>
    <row r="560" spans="1:256" ht="13" x14ac:dyDescent="0.25">
      <c r="A560" s="32"/>
      <c r="B560" s="1093" t="s">
        <v>109</v>
      </c>
      <c r="C560" s="88"/>
      <c r="D560" s="88"/>
      <c r="E560" s="88"/>
      <c r="F560" s="9" t="s">
        <v>108</v>
      </c>
      <c r="G560" s="88"/>
      <c r="H560" s="88"/>
      <c r="I560" s="88"/>
      <c r="J560" s="1061">
        <f>J561</f>
        <v>1183.2429999999999</v>
      </c>
      <c r="K560" s="1061"/>
      <c r="L560" s="1061"/>
      <c r="M560" s="1125"/>
      <c r="N560" s="2520">
        <f t="shared" si="259"/>
        <v>1594.0889999999999</v>
      </c>
      <c r="O560" s="2541">
        <f t="shared" si="259"/>
        <v>1627.663</v>
      </c>
      <c r="P560" s="2542">
        <f t="shared" si="259"/>
        <v>1782.7329999999999</v>
      </c>
      <c r="Q560" s="2543">
        <f t="shared" si="259"/>
        <v>1573.104</v>
      </c>
      <c r="R560" s="2544">
        <f t="shared" si="259"/>
        <v>1636.028</v>
      </c>
      <c r="S560" s="2514"/>
      <c r="T560" s="2514"/>
      <c r="U560" s="2514"/>
      <c r="V560" s="2520">
        <f t="shared" si="260"/>
        <v>1657.854</v>
      </c>
      <c r="W560" s="2520">
        <f t="shared" si="260"/>
        <v>1724.1669999999999</v>
      </c>
    </row>
    <row r="561" spans="1:26" ht="26" x14ac:dyDescent="0.25">
      <c r="A561" s="32"/>
      <c r="B561" s="49" t="s">
        <v>107</v>
      </c>
      <c r="C561" s="88" t="s">
        <v>106</v>
      </c>
      <c r="D561" s="88" t="s">
        <v>69</v>
      </c>
      <c r="E561" s="88" t="s">
        <v>103</v>
      </c>
      <c r="F561" s="9" t="s">
        <v>104</v>
      </c>
      <c r="G561" s="9"/>
      <c r="H561" s="9"/>
      <c r="I561" s="88"/>
      <c r="J561" s="1060">
        <f>J563</f>
        <v>1183.2429999999999</v>
      </c>
      <c r="K561" s="1059"/>
      <c r="L561" s="1059">
        <f t="shared" ref="L561:R561" si="261">L563</f>
        <v>1223.8879999999999</v>
      </c>
      <c r="M561" s="1555">
        <f t="shared" si="261"/>
        <v>1309.56</v>
      </c>
      <c r="N561" s="2597">
        <f t="shared" si="261"/>
        <v>1594.0889999999999</v>
      </c>
      <c r="O561" s="2510">
        <f t="shared" si="261"/>
        <v>1627.663</v>
      </c>
      <c r="P561" s="2511">
        <f t="shared" si="261"/>
        <v>1782.7329999999999</v>
      </c>
      <c r="Q561" s="2512">
        <f t="shared" si="261"/>
        <v>1573.104</v>
      </c>
      <c r="R561" s="2513">
        <f t="shared" si="261"/>
        <v>1636.028</v>
      </c>
      <c r="S561" s="2514"/>
      <c r="T561" s="2514"/>
      <c r="U561" s="2514"/>
      <c r="V561" s="2597">
        <f>V563</f>
        <v>1657.854</v>
      </c>
      <c r="W561" s="2597">
        <f>W563</f>
        <v>1724.1669999999999</v>
      </c>
    </row>
    <row r="562" spans="1:26" ht="39" hidden="1" x14ac:dyDescent="0.25">
      <c r="A562" s="32"/>
      <c r="B562" s="49" t="s">
        <v>1063</v>
      </c>
      <c r="C562" s="88"/>
      <c r="D562" s="88"/>
      <c r="E562" s="88"/>
      <c r="F562" s="9" t="s">
        <v>104</v>
      </c>
      <c r="G562" s="9" t="s">
        <v>1062</v>
      </c>
      <c r="H562" s="9"/>
      <c r="I562" s="88"/>
      <c r="J562" s="1060"/>
      <c r="K562" s="1059"/>
      <c r="L562" s="1059"/>
      <c r="M562" s="1555"/>
      <c r="N562" s="2597">
        <f>N563</f>
        <v>1594.0889999999999</v>
      </c>
      <c r="O562" s="2510"/>
      <c r="P562" s="2511"/>
      <c r="Q562" s="2512"/>
      <c r="R562" s="2513"/>
      <c r="S562" s="2514"/>
      <c r="T562" s="2514"/>
      <c r="U562" s="2514"/>
      <c r="V562" s="2597">
        <f t="shared" ref="V562:W562" si="262">V563</f>
        <v>1657.854</v>
      </c>
      <c r="W562" s="2597">
        <f t="shared" si="262"/>
        <v>1724.1669999999999</v>
      </c>
    </row>
    <row r="563" spans="1:26" ht="13" x14ac:dyDescent="0.3">
      <c r="A563" s="32"/>
      <c r="B563" s="744" t="s">
        <v>7</v>
      </c>
      <c r="C563" s="88"/>
      <c r="D563" s="88" t="s">
        <v>69</v>
      </c>
      <c r="E563" s="88" t="s">
        <v>103</v>
      </c>
      <c r="F563" s="9" t="s">
        <v>104</v>
      </c>
      <c r="G563" s="88">
        <v>120</v>
      </c>
      <c r="H563" s="88"/>
      <c r="I563" s="88"/>
      <c r="J563" s="1060">
        <f>J564</f>
        <v>1183.2429999999999</v>
      </c>
      <c r="K563" s="1060"/>
      <c r="L563" s="1061">
        <v>1223.8879999999999</v>
      </c>
      <c r="M563" s="1550">
        <v>1309.56</v>
      </c>
      <c r="N563" s="2597">
        <f t="shared" si="259"/>
        <v>1594.0889999999999</v>
      </c>
      <c r="O563" s="2510">
        <f t="shared" si="259"/>
        <v>1627.663</v>
      </c>
      <c r="P563" s="2511">
        <f t="shared" si="259"/>
        <v>1782.7329999999999</v>
      </c>
      <c r="Q563" s="2512">
        <f t="shared" si="259"/>
        <v>1573.104</v>
      </c>
      <c r="R563" s="2513">
        <f t="shared" si="259"/>
        <v>1636.028</v>
      </c>
      <c r="S563" s="2514"/>
      <c r="T563" s="2514"/>
      <c r="U563" s="2514"/>
      <c r="V563" s="2597">
        <f t="shared" si="260"/>
        <v>1657.854</v>
      </c>
      <c r="W563" s="2597">
        <f t="shared" si="260"/>
        <v>1724.1669999999999</v>
      </c>
    </row>
    <row r="564" spans="1:26" ht="39" x14ac:dyDescent="0.3">
      <c r="A564" s="32"/>
      <c r="B564" s="2066" t="s">
        <v>105</v>
      </c>
      <c r="C564" s="88"/>
      <c r="D564" s="88"/>
      <c r="E564" s="88"/>
      <c r="F564" s="9" t="s">
        <v>104</v>
      </c>
      <c r="G564" s="88">
        <v>120</v>
      </c>
      <c r="H564" s="9" t="s">
        <v>456</v>
      </c>
      <c r="I564" s="33" t="s">
        <v>452</v>
      </c>
      <c r="J564" s="1060">
        <f>946.688+236.555</f>
        <v>1183.2429999999999</v>
      </c>
      <c r="K564" s="1060"/>
      <c r="L564" s="1061">
        <v>1223.8879999999999</v>
      </c>
      <c r="M564" s="1550">
        <v>1309.56</v>
      </c>
      <c r="N564" s="2597">
        <v>1594.0889999999999</v>
      </c>
      <c r="O564" s="2510">
        <v>1627.663</v>
      </c>
      <c r="P564" s="2511">
        <v>1782.7329999999999</v>
      </c>
      <c r="Q564" s="2512">
        <v>1573.104</v>
      </c>
      <c r="R564" s="2513">
        <v>1636.028</v>
      </c>
      <c r="S564" s="2514"/>
      <c r="T564" s="2514"/>
      <c r="U564" s="2514"/>
      <c r="V564" s="2597">
        <v>1657.854</v>
      </c>
      <c r="W564" s="2597">
        <v>1724.1669999999999</v>
      </c>
    </row>
    <row r="565" spans="1:26" ht="26" x14ac:dyDescent="0.25">
      <c r="A565" s="91">
        <v>14</v>
      </c>
      <c r="B565" s="52" t="s">
        <v>102</v>
      </c>
      <c r="C565" s="34"/>
      <c r="D565" s="34" t="s">
        <v>69</v>
      </c>
      <c r="E565" s="34" t="s">
        <v>90</v>
      </c>
      <c r="F565" s="34" t="s">
        <v>101</v>
      </c>
      <c r="G565" s="34"/>
      <c r="H565" s="34"/>
      <c r="I565" s="34"/>
      <c r="J565" s="1065">
        <f>J567</f>
        <v>213.2</v>
      </c>
      <c r="K565" s="1065"/>
      <c r="L565" s="1065">
        <f>L568</f>
        <v>108</v>
      </c>
      <c r="M565" s="1552">
        <f>M568</f>
        <v>108</v>
      </c>
      <c r="N565" s="2549">
        <f>N566</f>
        <v>5228.3371900000002</v>
      </c>
      <c r="O565" s="2550">
        <f t="shared" ref="O565:R566" si="263">O566</f>
        <v>213.5</v>
      </c>
      <c r="P565" s="2551">
        <f t="shared" si="263"/>
        <v>213.5</v>
      </c>
      <c r="Q565" s="2552">
        <f t="shared" si="263"/>
        <v>500</v>
      </c>
      <c r="R565" s="2553">
        <f t="shared" si="263"/>
        <v>600</v>
      </c>
      <c r="S565" s="2514"/>
      <c r="T565" s="2514"/>
      <c r="U565" s="2514"/>
      <c r="V565" s="2549">
        <f t="shared" ref="V565:W566" si="264">V566</f>
        <v>10</v>
      </c>
      <c r="W565" s="2549">
        <f t="shared" si="264"/>
        <v>1660</v>
      </c>
    </row>
    <row r="566" spans="1:26" ht="13" x14ac:dyDescent="0.25">
      <c r="A566" s="91"/>
      <c r="B566" s="49" t="s">
        <v>83</v>
      </c>
      <c r="C566" s="34"/>
      <c r="D566" s="34"/>
      <c r="E566" s="34"/>
      <c r="F566" s="9" t="s">
        <v>100</v>
      </c>
      <c r="G566" s="34"/>
      <c r="H566" s="34"/>
      <c r="I566" s="34"/>
      <c r="J566" s="1065"/>
      <c r="K566" s="1065"/>
      <c r="L566" s="1065"/>
      <c r="M566" s="1552"/>
      <c r="N566" s="2520">
        <f>N567</f>
        <v>5228.3371900000002</v>
      </c>
      <c r="O566" s="2541">
        <f t="shared" si="263"/>
        <v>213.5</v>
      </c>
      <c r="P566" s="2542">
        <f t="shared" si="263"/>
        <v>213.5</v>
      </c>
      <c r="Q566" s="2543">
        <f t="shared" si="263"/>
        <v>500</v>
      </c>
      <c r="R566" s="2544">
        <f t="shared" si="263"/>
        <v>600</v>
      </c>
      <c r="S566" s="2514"/>
      <c r="T566" s="2514"/>
      <c r="U566" s="2514"/>
      <c r="V566" s="2520">
        <f t="shared" si="264"/>
        <v>10</v>
      </c>
      <c r="W566" s="2520">
        <f t="shared" si="264"/>
        <v>1660</v>
      </c>
    </row>
    <row r="567" spans="1:26" ht="13" x14ac:dyDescent="0.25">
      <c r="A567" s="91"/>
      <c r="B567" s="49" t="s">
        <v>83</v>
      </c>
      <c r="C567" s="34"/>
      <c r="D567" s="34"/>
      <c r="E567" s="34"/>
      <c r="F567" s="9" t="s">
        <v>99</v>
      </c>
      <c r="G567" s="34"/>
      <c r="H567" s="34"/>
      <c r="I567" s="34"/>
      <c r="J567" s="1063">
        <f>J574+J581</f>
        <v>213.2</v>
      </c>
      <c r="K567" s="1065"/>
      <c r="L567" s="1065"/>
      <c r="M567" s="1552"/>
      <c r="N567" s="2520">
        <f>N568</f>
        <v>5228.3371900000002</v>
      </c>
      <c r="O567" s="2541">
        <f>O574+O581</f>
        <v>213.5</v>
      </c>
      <c r="P567" s="2542">
        <f>P574+P581</f>
        <v>213.5</v>
      </c>
      <c r="Q567" s="2543">
        <f>Q574+Q581</f>
        <v>500</v>
      </c>
      <c r="R567" s="2544">
        <f>R574+R581</f>
        <v>600</v>
      </c>
      <c r="S567" s="2514"/>
      <c r="T567" s="2514"/>
      <c r="U567" s="2514"/>
      <c r="V567" s="2520">
        <f>V568</f>
        <v>10</v>
      </c>
      <c r="W567" s="2520">
        <f>W568</f>
        <v>1660</v>
      </c>
    </row>
    <row r="568" spans="1:26" ht="13" x14ac:dyDescent="0.25">
      <c r="A568" s="32"/>
      <c r="B568" s="49" t="s">
        <v>1245</v>
      </c>
      <c r="C568" s="34"/>
      <c r="D568" s="9" t="s">
        <v>69</v>
      </c>
      <c r="E568" s="9" t="s">
        <v>90</v>
      </c>
      <c r="F568" s="9" t="s">
        <v>92</v>
      </c>
      <c r="G568" s="34"/>
      <c r="H568" s="34"/>
      <c r="I568" s="9"/>
      <c r="J568" s="1063">
        <f>J573</f>
        <v>198.2</v>
      </c>
      <c r="K568" s="1063"/>
      <c r="L568" s="1063">
        <f>L573+L580</f>
        <v>108</v>
      </c>
      <c r="M568" s="1125">
        <f>M573+M580</f>
        <v>108</v>
      </c>
      <c r="N568" s="2520">
        <f>N574+N579+N581+N571</f>
        <v>5228.3371900000002</v>
      </c>
      <c r="O568" s="2541">
        <f>O573</f>
        <v>178.5</v>
      </c>
      <c r="P568" s="2542">
        <f>P573</f>
        <v>178.5</v>
      </c>
      <c r="Q568" s="2543">
        <f>Q573+Q580</f>
        <v>500</v>
      </c>
      <c r="R568" s="2544">
        <f>R573+R580</f>
        <v>600</v>
      </c>
      <c r="S568" s="2514"/>
      <c r="T568" s="2514"/>
      <c r="U568" s="2514"/>
      <c r="V568" s="2520">
        <f>V574+V579+V581+V571</f>
        <v>10</v>
      </c>
      <c r="W568" s="2520">
        <f>W574+W579+W581+W571</f>
        <v>1660</v>
      </c>
    </row>
    <row r="569" spans="1:26" ht="39" x14ac:dyDescent="0.25">
      <c r="A569" s="32"/>
      <c r="B569" s="49" t="s">
        <v>1063</v>
      </c>
      <c r="C569" s="34"/>
      <c r="D569" s="9"/>
      <c r="E569" s="9"/>
      <c r="F569" s="9" t="s">
        <v>92</v>
      </c>
      <c r="G569" s="9" t="s">
        <v>1062</v>
      </c>
      <c r="H569" s="34"/>
      <c r="I569" s="9"/>
      <c r="J569" s="1063"/>
      <c r="K569" s="1063"/>
      <c r="L569" s="1063"/>
      <c r="M569" s="1125"/>
      <c r="N569" s="2520">
        <f>N570</f>
        <v>73.470510000000004</v>
      </c>
      <c r="O569" s="2541"/>
      <c r="P569" s="2542"/>
      <c r="Q569" s="2543"/>
      <c r="R569" s="2544"/>
      <c r="S569" s="2514"/>
      <c r="T569" s="2514"/>
      <c r="U569" s="2514"/>
      <c r="V569" s="2520">
        <f>V570</f>
        <v>0</v>
      </c>
      <c r="W569" s="2520">
        <f>W570</f>
        <v>0</v>
      </c>
    </row>
    <row r="570" spans="1:26" ht="13" x14ac:dyDescent="0.25">
      <c r="A570" s="32"/>
      <c r="B570" s="49" t="s">
        <v>571</v>
      </c>
      <c r="C570" s="34"/>
      <c r="D570" s="9"/>
      <c r="E570" s="9"/>
      <c r="F570" s="9" t="s">
        <v>92</v>
      </c>
      <c r="G570" s="9" t="s">
        <v>5</v>
      </c>
      <c r="H570" s="34"/>
      <c r="I570" s="9"/>
      <c r="J570" s="1063"/>
      <c r="K570" s="1063"/>
      <c r="L570" s="1063"/>
      <c r="M570" s="1125"/>
      <c r="N570" s="2520">
        <f>N571</f>
        <v>73.470510000000004</v>
      </c>
      <c r="O570" s="2541"/>
      <c r="P570" s="2542"/>
      <c r="Q570" s="2543"/>
      <c r="R570" s="2544"/>
      <c r="S570" s="2514"/>
      <c r="T570" s="2514"/>
      <c r="U570" s="2514"/>
      <c r="V570" s="2520">
        <f>V571</f>
        <v>0</v>
      </c>
      <c r="W570" s="2520">
        <f>W571</f>
        <v>0</v>
      </c>
    </row>
    <row r="571" spans="1:26" ht="13" x14ac:dyDescent="0.25">
      <c r="A571" s="32"/>
      <c r="B571" s="52" t="s">
        <v>93</v>
      </c>
      <c r="C571" s="34"/>
      <c r="D571" s="9"/>
      <c r="E571" s="9"/>
      <c r="F571" s="9" t="s">
        <v>92</v>
      </c>
      <c r="G571" s="9" t="s">
        <v>5</v>
      </c>
      <c r="H571" s="9" t="s">
        <v>456</v>
      </c>
      <c r="I571" s="9" t="s">
        <v>573</v>
      </c>
      <c r="J571" s="1063"/>
      <c r="K571" s="1063"/>
      <c r="L571" s="1063"/>
      <c r="M571" s="1125"/>
      <c r="N571" s="2520">
        <v>73.470510000000004</v>
      </c>
      <c r="O571" s="2541"/>
      <c r="P571" s="2542"/>
      <c r="Q571" s="2543"/>
      <c r="R571" s="2544"/>
      <c r="S571" s="2514"/>
      <c r="T571" s="2514"/>
      <c r="U571" s="2514"/>
      <c r="V571" s="2520">
        <v>0</v>
      </c>
      <c r="W571" s="2520">
        <v>0</v>
      </c>
    </row>
    <row r="572" spans="1:26" ht="26" x14ac:dyDescent="0.25">
      <c r="A572" s="32"/>
      <c r="B572" s="724" t="s">
        <v>948</v>
      </c>
      <c r="C572" s="34"/>
      <c r="D572" s="9"/>
      <c r="E572" s="9"/>
      <c r="F572" s="9" t="s">
        <v>92</v>
      </c>
      <c r="G572" s="9" t="s">
        <v>955</v>
      </c>
      <c r="H572" s="34"/>
      <c r="I572" s="9"/>
      <c r="J572" s="1063"/>
      <c r="K572" s="1063"/>
      <c r="L572" s="1063"/>
      <c r="M572" s="1125"/>
      <c r="N572" s="2520">
        <f>N573</f>
        <v>1723.19677</v>
      </c>
      <c r="O572" s="2541"/>
      <c r="P572" s="2542"/>
      <c r="Q572" s="2543"/>
      <c r="R572" s="2544"/>
      <c r="S572" s="2514"/>
      <c r="T572" s="2514"/>
      <c r="U572" s="2514"/>
      <c r="V572" s="2520">
        <f t="shared" ref="V572:W572" si="265">V573</f>
        <v>0</v>
      </c>
      <c r="W572" s="2520">
        <f t="shared" si="265"/>
        <v>1650</v>
      </c>
    </row>
    <row r="573" spans="1:26" ht="26" x14ac:dyDescent="0.25">
      <c r="A573" s="32"/>
      <c r="B573" s="1993" t="s">
        <v>4</v>
      </c>
      <c r="C573" s="34"/>
      <c r="D573" s="9" t="s">
        <v>69</v>
      </c>
      <c r="E573" s="9" t="s">
        <v>90</v>
      </c>
      <c r="F573" s="9" t="s">
        <v>92</v>
      </c>
      <c r="G573" s="9" t="s">
        <v>1</v>
      </c>
      <c r="H573" s="9"/>
      <c r="I573" s="9"/>
      <c r="J573" s="1063">
        <f>J574</f>
        <v>198.2</v>
      </c>
      <c r="K573" s="1063"/>
      <c r="L573" s="1063">
        <v>105</v>
      </c>
      <c r="M573" s="1125">
        <v>105</v>
      </c>
      <c r="N573" s="2520">
        <f t="shared" ref="N573:R573" si="266">N574</f>
        <v>1723.19677</v>
      </c>
      <c r="O573" s="2541">
        <f t="shared" si="266"/>
        <v>178.5</v>
      </c>
      <c r="P573" s="2542">
        <f t="shared" si="266"/>
        <v>178.5</v>
      </c>
      <c r="Q573" s="2543">
        <f t="shared" si="266"/>
        <v>400</v>
      </c>
      <c r="R573" s="2544">
        <f t="shared" si="266"/>
        <v>500</v>
      </c>
      <c r="S573" s="2514"/>
      <c r="T573" s="2514"/>
      <c r="U573" s="2514"/>
      <c r="V573" s="2520">
        <f t="shared" ref="V573:W573" si="267">V574</f>
        <v>0</v>
      </c>
      <c r="W573" s="2520">
        <f t="shared" si="267"/>
        <v>1650</v>
      </c>
    </row>
    <row r="574" spans="1:26" ht="13" x14ac:dyDescent="0.25">
      <c r="A574" s="32"/>
      <c r="B574" s="52" t="s">
        <v>93</v>
      </c>
      <c r="C574" s="34"/>
      <c r="D574" s="9"/>
      <c r="E574" s="9"/>
      <c r="F574" s="9" t="s">
        <v>92</v>
      </c>
      <c r="G574" s="9" t="s">
        <v>1</v>
      </c>
      <c r="H574" s="9" t="s">
        <v>456</v>
      </c>
      <c r="I574" s="9" t="s">
        <v>573</v>
      </c>
      <c r="J574" s="1063">
        <v>198.2</v>
      </c>
      <c r="K574" s="1063"/>
      <c r="L574" s="1063">
        <v>105</v>
      </c>
      <c r="M574" s="1125">
        <v>105</v>
      </c>
      <c r="N574" s="2520">
        <f>1500-316.64-189.1916+250+342.8-45.57163+181.8</f>
        <v>1723.19677</v>
      </c>
      <c r="O574" s="2541">
        <v>178.5</v>
      </c>
      <c r="P574" s="2542">
        <v>178.5</v>
      </c>
      <c r="Q574" s="2543">
        <v>400</v>
      </c>
      <c r="R574" s="2544">
        <v>500</v>
      </c>
      <c r="S574" s="2514"/>
      <c r="T574" s="2514"/>
      <c r="U574" s="2514"/>
      <c r="V574" s="2520">
        <f>1650-1100-550</f>
        <v>0</v>
      </c>
      <c r="W574" s="2520">
        <v>1650</v>
      </c>
    </row>
    <row r="575" spans="1:26" s="83" customFormat="1" ht="13" hidden="1" x14ac:dyDescent="0.3">
      <c r="A575" s="32"/>
      <c r="B575" s="99" t="s">
        <v>97</v>
      </c>
      <c r="C575" s="34"/>
      <c r="D575" s="9" t="s">
        <v>69</v>
      </c>
      <c r="E575" s="9" t="s">
        <v>90</v>
      </c>
      <c r="F575" s="9" t="s">
        <v>96</v>
      </c>
      <c r="G575" s="9" t="s">
        <v>95</v>
      </c>
      <c r="H575" s="9"/>
      <c r="I575" s="1063"/>
      <c r="J575" s="1063">
        <f>J576</f>
        <v>0</v>
      </c>
      <c r="K575" s="1063"/>
      <c r="L575" s="1063"/>
      <c r="M575" s="2"/>
      <c r="N575" s="2520">
        <f>N576</f>
        <v>0</v>
      </c>
      <c r="O575" s="2541">
        <f>O576</f>
        <v>0</v>
      </c>
      <c r="P575" s="2542">
        <f>P576</f>
        <v>0</v>
      </c>
      <c r="Q575" s="2543">
        <f>Q576</f>
        <v>0</v>
      </c>
      <c r="R575" s="2544">
        <f>R576</f>
        <v>0</v>
      </c>
      <c r="S575" s="2514"/>
      <c r="T575" s="2514"/>
      <c r="U575" s="2514"/>
      <c r="V575" s="2520">
        <f>V576</f>
        <v>0</v>
      </c>
      <c r="W575" s="2520">
        <f>W576</f>
        <v>0</v>
      </c>
      <c r="X575" s="84"/>
      <c r="Z575" s="2141"/>
    </row>
    <row r="576" spans="1:26" s="83" customFormat="1" ht="13" hidden="1" x14ac:dyDescent="0.3">
      <c r="A576" s="32"/>
      <c r="B576" s="52" t="s">
        <v>93</v>
      </c>
      <c r="C576" s="34"/>
      <c r="D576" s="9"/>
      <c r="E576" s="9"/>
      <c r="F576" s="9" t="s">
        <v>96</v>
      </c>
      <c r="G576" s="9" t="s">
        <v>95</v>
      </c>
      <c r="H576" s="9"/>
      <c r="I576" s="9" t="s">
        <v>90</v>
      </c>
      <c r="J576" s="1063"/>
      <c r="K576" s="1063"/>
      <c r="L576" s="1063"/>
      <c r="M576" s="1125"/>
      <c r="N576" s="2520"/>
      <c r="O576" s="2541"/>
      <c r="P576" s="2542"/>
      <c r="Q576" s="2543"/>
      <c r="R576" s="2544"/>
      <c r="S576" s="2514"/>
      <c r="T576" s="2514"/>
      <c r="U576" s="2514"/>
      <c r="V576" s="2520"/>
      <c r="W576" s="2520"/>
      <c r="X576" s="84"/>
      <c r="Z576" s="2141"/>
    </row>
    <row r="577" spans="1:26" s="83" customFormat="1" ht="13" x14ac:dyDescent="0.3">
      <c r="A577" s="32"/>
      <c r="B577" s="2152" t="s">
        <v>1065</v>
      </c>
      <c r="C577" s="34"/>
      <c r="D577" s="9"/>
      <c r="E577" s="9"/>
      <c r="F577" s="9" t="s">
        <v>92</v>
      </c>
      <c r="G577" s="9" t="s">
        <v>1064</v>
      </c>
      <c r="H577" s="9"/>
      <c r="I577" s="9"/>
      <c r="J577" s="1063"/>
      <c r="K577" s="1063"/>
      <c r="L577" s="1063"/>
      <c r="M577" s="1125"/>
      <c r="N577" s="2520">
        <f>N578+N580</f>
        <v>3431.6699100000001</v>
      </c>
      <c r="O577" s="2541"/>
      <c r="P577" s="2542"/>
      <c r="Q577" s="2543"/>
      <c r="R577" s="2544"/>
      <c r="S577" s="2514"/>
      <c r="T577" s="2514"/>
      <c r="U577" s="2514"/>
      <c r="V577" s="2520">
        <f t="shared" ref="V577:W577" si="268">V578+V580</f>
        <v>10</v>
      </c>
      <c r="W577" s="2520">
        <f t="shared" si="268"/>
        <v>10</v>
      </c>
      <c r="X577" s="84"/>
      <c r="Z577" s="2141"/>
    </row>
    <row r="578" spans="1:26" s="83" customFormat="1" ht="13" x14ac:dyDescent="0.3">
      <c r="A578" s="32"/>
      <c r="B578" s="534" t="s">
        <v>97</v>
      </c>
      <c r="C578" s="34"/>
      <c r="D578" s="9"/>
      <c r="E578" s="9"/>
      <c r="F578" s="9" t="s">
        <v>92</v>
      </c>
      <c r="G578" s="9" t="s">
        <v>95</v>
      </c>
      <c r="H578" s="9"/>
      <c r="I578" s="9"/>
      <c r="J578" s="1063"/>
      <c r="K578" s="1063"/>
      <c r="L578" s="1063"/>
      <c r="M578" s="1125"/>
      <c r="N578" s="2520">
        <f>N579</f>
        <v>3403.4699100000003</v>
      </c>
      <c r="O578" s="2541"/>
      <c r="P578" s="2542"/>
      <c r="Q578" s="2543"/>
      <c r="R578" s="2544"/>
      <c r="S578" s="2514"/>
      <c r="T578" s="2514"/>
      <c r="U578" s="2514"/>
      <c r="V578" s="2520">
        <f>V579</f>
        <v>0</v>
      </c>
      <c r="W578" s="2520">
        <f>W579</f>
        <v>0</v>
      </c>
      <c r="X578" s="84"/>
      <c r="Z578" s="2141"/>
    </row>
    <row r="579" spans="1:26" s="83" customFormat="1" ht="13" x14ac:dyDescent="0.3">
      <c r="A579" s="32"/>
      <c r="B579" s="52" t="s">
        <v>93</v>
      </c>
      <c r="C579" s="34"/>
      <c r="D579" s="9"/>
      <c r="E579" s="9"/>
      <c r="F579" s="9" t="s">
        <v>92</v>
      </c>
      <c r="G579" s="9" t="s">
        <v>95</v>
      </c>
      <c r="H579" s="9" t="s">
        <v>456</v>
      </c>
      <c r="I579" s="9" t="s">
        <v>573</v>
      </c>
      <c r="J579" s="1063"/>
      <c r="K579" s="1063"/>
      <c r="L579" s="1063"/>
      <c r="M579" s="1125"/>
      <c r="N579" s="2520">
        <f>100+316.64+189.1916+45.57163+121.92425+195.55587+2434.58656</f>
        <v>3403.4699100000003</v>
      </c>
      <c r="O579" s="2541"/>
      <c r="P579" s="2542"/>
      <c r="Q579" s="2543"/>
      <c r="R579" s="2544"/>
      <c r="S579" s="2514"/>
      <c r="T579" s="2514"/>
      <c r="U579" s="2514"/>
      <c r="V579" s="2520">
        <v>0</v>
      </c>
      <c r="W579" s="2520">
        <v>0</v>
      </c>
      <c r="X579" s="84"/>
      <c r="Z579" s="2141"/>
    </row>
    <row r="580" spans="1:26" s="83" customFormat="1" ht="13" x14ac:dyDescent="0.3">
      <c r="A580" s="32"/>
      <c r="B580" s="2003" t="s">
        <v>94</v>
      </c>
      <c r="C580" s="34"/>
      <c r="D580" s="9" t="s">
        <v>69</v>
      </c>
      <c r="E580" s="9" t="s">
        <v>90</v>
      </c>
      <c r="F580" s="9" t="s">
        <v>92</v>
      </c>
      <c r="G580" s="9" t="s">
        <v>91</v>
      </c>
      <c r="H580" s="9"/>
      <c r="I580" s="9"/>
      <c r="J580" s="1063">
        <f>J581</f>
        <v>15</v>
      </c>
      <c r="K580" s="1063"/>
      <c r="L580" s="1063">
        <v>3</v>
      </c>
      <c r="M580" s="1125">
        <v>3</v>
      </c>
      <c r="N580" s="2520">
        <f>N581</f>
        <v>28.2</v>
      </c>
      <c r="O580" s="2541">
        <f>O581</f>
        <v>35</v>
      </c>
      <c r="P580" s="2542">
        <f>P581</f>
        <v>35</v>
      </c>
      <c r="Q580" s="2543">
        <f>Q581</f>
        <v>100</v>
      </c>
      <c r="R580" s="2544">
        <f>R581</f>
        <v>100</v>
      </c>
      <c r="S580" s="2514"/>
      <c r="T580" s="2514"/>
      <c r="U580" s="2514"/>
      <c r="V580" s="2520">
        <f>V581</f>
        <v>10</v>
      </c>
      <c r="W580" s="2520">
        <f>W581</f>
        <v>10</v>
      </c>
      <c r="X580" s="84"/>
      <c r="Z580" s="2141"/>
    </row>
    <row r="581" spans="1:26" s="83" customFormat="1" ht="13" x14ac:dyDescent="0.3">
      <c r="A581" s="32"/>
      <c r="B581" s="52" t="s">
        <v>93</v>
      </c>
      <c r="C581" s="34"/>
      <c r="D581" s="9"/>
      <c r="E581" s="9"/>
      <c r="F581" s="9" t="s">
        <v>92</v>
      </c>
      <c r="G581" s="9" t="s">
        <v>91</v>
      </c>
      <c r="H581" s="9" t="s">
        <v>456</v>
      </c>
      <c r="I581" s="9" t="s">
        <v>573</v>
      </c>
      <c r="J581" s="1063">
        <f>13+2</f>
        <v>15</v>
      </c>
      <c r="K581" s="1063"/>
      <c r="L581" s="1063">
        <v>3</v>
      </c>
      <c r="M581" s="1125">
        <v>3</v>
      </c>
      <c r="N581" s="2520">
        <f>10+18.2</f>
        <v>28.2</v>
      </c>
      <c r="O581" s="2541">
        <v>35</v>
      </c>
      <c r="P581" s="2542">
        <v>35</v>
      </c>
      <c r="Q581" s="2543">
        <v>100</v>
      </c>
      <c r="R581" s="2544">
        <v>100</v>
      </c>
      <c r="S581" s="2514"/>
      <c r="T581" s="2514"/>
      <c r="U581" s="2514"/>
      <c r="V581" s="2520">
        <v>10</v>
      </c>
      <c r="W581" s="2520">
        <v>10</v>
      </c>
      <c r="X581" s="84"/>
      <c r="Z581" s="2141"/>
    </row>
    <row r="582" spans="1:26" s="83" customFormat="1" ht="39" x14ac:dyDescent="0.3">
      <c r="A582" s="91">
        <v>14</v>
      </c>
      <c r="B582" s="52" t="s">
        <v>25</v>
      </c>
      <c r="C582" s="9"/>
      <c r="D582" s="94" t="s">
        <v>69</v>
      </c>
      <c r="E582" s="34" t="s">
        <v>66</v>
      </c>
      <c r="F582" s="94" t="s">
        <v>89</v>
      </c>
      <c r="G582" s="94"/>
      <c r="H582" s="94"/>
      <c r="I582" s="34"/>
      <c r="J582" s="1072">
        <f>J596+J609+J612+J630+J635+J674+J677+J688+J590+J660+J606+J592+J665+J668+J583+J602+J603+J726</f>
        <v>32462.342000000001</v>
      </c>
      <c r="K582" s="1061"/>
      <c r="L582" s="1064">
        <f>L596+L609+L612+L630+L635+L674+L677+L730+L590+L660</f>
        <v>13168.182999999999</v>
      </c>
      <c r="M582" s="1563">
        <f>M596+M609+M612+M630+M635+M674+M677+M730+M590+M660</f>
        <v>13168.182999999999</v>
      </c>
      <c r="N582" s="2549">
        <f>N586</f>
        <v>13450.469279999999</v>
      </c>
      <c r="O582" s="2550">
        <f>O591+O599+O633+O659+O661+O664+O676+O690+O692+O729</f>
        <v>4416.915</v>
      </c>
      <c r="P582" s="2551">
        <f>P591+P599+P633+P659+P661+P664+P676+P690+P692+P729</f>
        <v>4792.1499999999996</v>
      </c>
      <c r="Q582" s="2552">
        <f>Q591+Q599+Q622+Q633+Q659+Q702+Q705+Q708+Q714+Q729</f>
        <v>7937.2269999999999</v>
      </c>
      <c r="R582" s="2553">
        <f>R591+R599+R622+R626+R633+R659+R702+R705+R708+R714+R729</f>
        <v>7219.3109999999997</v>
      </c>
      <c r="S582" s="2545"/>
      <c r="T582" s="2545"/>
      <c r="U582" s="2545"/>
      <c r="V582" s="2549">
        <f>V586</f>
        <v>3601.6653399999996</v>
      </c>
      <c r="W582" s="2549">
        <f>W586</f>
        <v>17269.878499999999</v>
      </c>
      <c r="X582" s="84"/>
      <c r="Z582" s="2141"/>
    </row>
    <row r="583" spans="1:26" s="83" customFormat="1" ht="23.5" hidden="1" customHeight="1" x14ac:dyDescent="0.3">
      <c r="A583" s="91"/>
      <c r="B583" s="336" t="s">
        <v>88</v>
      </c>
      <c r="C583" s="9"/>
      <c r="D583" s="94"/>
      <c r="E583" s="34"/>
      <c r="F583" s="34" t="s">
        <v>86</v>
      </c>
      <c r="G583" s="94"/>
      <c r="H583" s="94"/>
      <c r="I583" s="34"/>
      <c r="J583" s="1060"/>
      <c r="K583" s="1061"/>
      <c r="L583" s="1064"/>
      <c r="M583" s="1563"/>
      <c r="N583" s="2597"/>
      <c r="O583" s="2510"/>
      <c r="P583" s="2511"/>
      <c r="Q583" s="2512"/>
      <c r="R583" s="2513"/>
      <c r="S583" s="2545"/>
      <c r="T583" s="2545"/>
      <c r="U583" s="2545"/>
      <c r="V583" s="2597"/>
      <c r="W583" s="2597"/>
      <c r="X583" s="84"/>
      <c r="Z583" s="2141"/>
    </row>
    <row r="584" spans="1:26" s="83" customFormat="1" ht="26" hidden="1" x14ac:dyDescent="0.3">
      <c r="A584" s="91"/>
      <c r="B584" s="1993" t="s">
        <v>4</v>
      </c>
      <c r="C584" s="9"/>
      <c r="D584" s="94"/>
      <c r="E584" s="34"/>
      <c r="F584" s="9" t="s">
        <v>86</v>
      </c>
      <c r="G584" s="9" t="s">
        <v>1</v>
      </c>
      <c r="H584" s="9"/>
      <c r="I584" s="34"/>
      <c r="J584" s="1060"/>
      <c r="K584" s="1061"/>
      <c r="L584" s="1064"/>
      <c r="M584" s="1563"/>
      <c r="N584" s="2597"/>
      <c r="O584" s="2510"/>
      <c r="P584" s="2511"/>
      <c r="Q584" s="2512"/>
      <c r="R584" s="2513"/>
      <c r="S584" s="2545"/>
      <c r="T584" s="2545"/>
      <c r="U584" s="2545"/>
      <c r="V584" s="2597"/>
      <c r="W584" s="2597"/>
      <c r="X584" s="84"/>
      <c r="Z584" s="2141"/>
    </row>
    <row r="585" spans="1:26" s="83" customFormat="1" ht="13" hidden="1" x14ac:dyDescent="0.3">
      <c r="A585" s="91"/>
      <c r="B585" s="49" t="s">
        <v>87</v>
      </c>
      <c r="C585" s="9"/>
      <c r="D585" s="94"/>
      <c r="E585" s="34"/>
      <c r="F585" s="9" t="s">
        <v>86</v>
      </c>
      <c r="G585" s="9" t="s">
        <v>1</v>
      </c>
      <c r="H585" s="9"/>
      <c r="I585" s="33" t="s">
        <v>85</v>
      </c>
      <c r="J585" s="1060"/>
      <c r="K585" s="1061"/>
      <c r="L585" s="1064"/>
      <c r="M585" s="1563"/>
      <c r="N585" s="2597"/>
      <c r="O585" s="2510"/>
      <c r="P585" s="2511"/>
      <c r="Q585" s="2512"/>
      <c r="R585" s="2513"/>
      <c r="S585" s="2545"/>
      <c r="T585" s="2545"/>
      <c r="U585" s="2545"/>
      <c r="V585" s="2597"/>
      <c r="W585" s="2597"/>
      <c r="X585" s="84"/>
      <c r="Z585" s="2141"/>
    </row>
    <row r="586" spans="1:26" s="83" customFormat="1" ht="13" x14ac:dyDescent="0.3">
      <c r="A586" s="91"/>
      <c r="B586" s="49" t="s">
        <v>83</v>
      </c>
      <c r="C586" s="9"/>
      <c r="D586" s="94"/>
      <c r="E586" s="34"/>
      <c r="F586" s="88" t="s">
        <v>84</v>
      </c>
      <c r="G586" s="9"/>
      <c r="H586" s="9"/>
      <c r="I586" s="33"/>
      <c r="J586" s="1060">
        <f>J587</f>
        <v>32462.342000000001</v>
      </c>
      <c r="K586" s="1061"/>
      <c r="L586" s="1064"/>
      <c r="M586" s="1563"/>
      <c r="N586" s="2597">
        <f>N587</f>
        <v>13450.469279999999</v>
      </c>
      <c r="O586" s="2510">
        <f>O587</f>
        <v>4416.915</v>
      </c>
      <c r="P586" s="2511">
        <f>P587</f>
        <v>4792.1499999999996</v>
      </c>
      <c r="Q586" s="2512">
        <f>Q587</f>
        <v>7937.2269999999999</v>
      </c>
      <c r="R586" s="2513">
        <f>R587</f>
        <v>7219.3109999999997</v>
      </c>
      <c r="S586" s="2545"/>
      <c r="T586" s="2545"/>
      <c r="U586" s="2545"/>
      <c r="V586" s="2597">
        <f>V587</f>
        <v>3601.6653399999996</v>
      </c>
      <c r="W586" s="2597">
        <f>W587</f>
        <v>17269.878499999999</v>
      </c>
      <c r="X586" s="84"/>
      <c r="Z586" s="2141"/>
    </row>
    <row r="587" spans="1:26" s="83" customFormat="1" ht="13" x14ac:dyDescent="0.3">
      <c r="A587" s="91"/>
      <c r="B587" s="49" t="s">
        <v>83</v>
      </c>
      <c r="C587" s="9"/>
      <c r="D587" s="94"/>
      <c r="E587" s="34"/>
      <c r="F587" s="88" t="s">
        <v>82</v>
      </c>
      <c r="G587" s="9"/>
      <c r="H587" s="9"/>
      <c r="I587" s="33"/>
      <c r="J587" s="1060">
        <f>J582</f>
        <v>32462.342000000001</v>
      </c>
      <c r="K587" s="1061"/>
      <c r="L587" s="1064"/>
      <c r="M587" s="1563"/>
      <c r="N587" s="2597">
        <f>N591+N594+N599+N622+N626+N633+N655+N659+N698+N702+N705+N708+N729+N711+N640+N644+N652+N618+N648+N718+N722+N725</f>
        <v>13450.469279999999</v>
      </c>
      <c r="O587" s="2510">
        <f>O582</f>
        <v>4416.915</v>
      </c>
      <c r="P587" s="2511">
        <f>P582</f>
        <v>4792.1499999999996</v>
      </c>
      <c r="Q587" s="2512">
        <f>Q582</f>
        <v>7937.2269999999999</v>
      </c>
      <c r="R587" s="2512">
        <f>R582</f>
        <v>7219.3109999999997</v>
      </c>
      <c r="S587" s="2545"/>
      <c r="T587" s="2545"/>
      <c r="U587" s="2545"/>
      <c r="V587" s="2597">
        <f>V591+V594+V599+V622+V626+V633+V655+V659+V698+V702+V705+V708+V729+V711+V640+V644+V652+V722</f>
        <v>3601.6653399999996</v>
      </c>
      <c r="W587" s="2597">
        <f>W591+W594+W599+W622+W626+W633+W655+W659+W698+W702+W705+W708+W729+W711+W640+W644+W652+W722</f>
        <v>17269.878499999999</v>
      </c>
      <c r="X587" s="84"/>
      <c r="Z587" s="2141"/>
    </row>
    <row r="588" spans="1:26" ht="30" customHeight="1" x14ac:dyDescent="0.3">
      <c r="A588" s="91"/>
      <c r="B588" s="262" t="s">
        <v>81</v>
      </c>
      <c r="C588" s="9"/>
      <c r="D588" s="94"/>
      <c r="E588" s="34"/>
      <c r="F588" s="79" t="s">
        <v>78</v>
      </c>
      <c r="G588" s="9"/>
      <c r="H588" s="9"/>
      <c r="I588" s="33"/>
      <c r="J588" s="1060">
        <f>J590</f>
        <v>48</v>
      </c>
      <c r="K588" s="1061"/>
      <c r="L588" s="1064"/>
      <c r="M588" s="1563"/>
      <c r="N588" s="2603">
        <f>N590</f>
        <v>690.87300000000005</v>
      </c>
      <c r="O588" s="2599">
        <f>O590</f>
        <v>531.38</v>
      </c>
      <c r="P588" s="2600">
        <f>P590</f>
        <v>584.51300000000003</v>
      </c>
      <c r="Q588" s="2601">
        <f>Q590</f>
        <v>639.61699999999996</v>
      </c>
      <c r="R588" s="2602">
        <f>R590</f>
        <v>665.20100000000002</v>
      </c>
      <c r="S588" s="2545"/>
      <c r="T588" s="2545"/>
      <c r="U588" s="2545"/>
      <c r="V588" s="2603">
        <f>V590</f>
        <v>718.50800000000004</v>
      </c>
      <c r="W588" s="2603">
        <f>W590</f>
        <v>747.24800000000005</v>
      </c>
    </row>
    <row r="589" spans="1:26" ht="19.5" customHeight="1" x14ac:dyDescent="0.3">
      <c r="A589" s="91"/>
      <c r="B589" s="2153" t="s">
        <v>852</v>
      </c>
      <c r="C589" s="9"/>
      <c r="D589" s="94"/>
      <c r="E589" s="34"/>
      <c r="F589" s="77" t="s">
        <v>78</v>
      </c>
      <c r="G589" s="9" t="s">
        <v>860</v>
      </c>
      <c r="H589" s="9"/>
      <c r="I589" s="33"/>
      <c r="J589" s="1060"/>
      <c r="K589" s="1061"/>
      <c r="L589" s="1064"/>
      <c r="M589" s="1563"/>
      <c r="N589" s="2603">
        <f>N590</f>
        <v>690.87300000000005</v>
      </c>
      <c r="O589" s="2599"/>
      <c r="P589" s="2600"/>
      <c r="Q589" s="2601"/>
      <c r="R589" s="2602"/>
      <c r="S589" s="2545"/>
      <c r="T589" s="2545"/>
      <c r="U589" s="2545"/>
      <c r="V589" s="2603">
        <f t="shared" ref="V589:W589" si="269">V590</f>
        <v>718.50800000000004</v>
      </c>
      <c r="W589" s="2603">
        <f t="shared" si="269"/>
        <v>747.24800000000005</v>
      </c>
    </row>
    <row r="590" spans="1:26" ht="26" x14ac:dyDescent="0.3">
      <c r="A590" s="91"/>
      <c r="B590" s="2012" t="s">
        <v>80</v>
      </c>
      <c r="C590" s="89"/>
      <c r="D590" s="9" t="s">
        <v>44</v>
      </c>
      <c r="E590" s="9" t="s">
        <v>76</v>
      </c>
      <c r="F590" s="77" t="s">
        <v>78</v>
      </c>
      <c r="G590" s="33" t="s">
        <v>77</v>
      </c>
      <c r="H590" s="33"/>
      <c r="I590" s="89"/>
      <c r="J590" s="1063">
        <f>J591</f>
        <v>48</v>
      </c>
      <c r="K590" s="1063">
        <f>K591</f>
        <v>240.5</v>
      </c>
      <c r="L590" s="1063">
        <f>L591</f>
        <v>240.5</v>
      </c>
      <c r="M590" s="1125">
        <f>M591</f>
        <v>240.5</v>
      </c>
      <c r="N590" s="2520">
        <f t="shared" ref="N590:R590" si="270">N591</f>
        <v>690.87300000000005</v>
      </c>
      <c r="O590" s="2541">
        <f t="shared" si="270"/>
        <v>531.38</v>
      </c>
      <c r="P590" s="2542">
        <f t="shared" si="270"/>
        <v>584.51300000000003</v>
      </c>
      <c r="Q590" s="2543">
        <f t="shared" si="270"/>
        <v>639.61699999999996</v>
      </c>
      <c r="R590" s="2544">
        <f t="shared" si="270"/>
        <v>665.20100000000002</v>
      </c>
      <c r="S590" s="2545"/>
      <c r="T590" s="2545"/>
      <c r="U590" s="2545"/>
      <c r="V590" s="2520">
        <f t="shared" ref="V590:W590" si="271">V591</f>
        <v>718.50800000000004</v>
      </c>
      <c r="W590" s="2520">
        <f t="shared" si="271"/>
        <v>747.24800000000005</v>
      </c>
    </row>
    <row r="591" spans="1:26" s="2829" customFormat="1" ht="13" x14ac:dyDescent="0.3">
      <c r="A591" s="2815"/>
      <c r="B591" s="2816" t="s">
        <v>79</v>
      </c>
      <c r="C591" s="2817"/>
      <c r="D591" s="2818" t="s">
        <v>44</v>
      </c>
      <c r="E591" s="2818" t="s">
        <v>76</v>
      </c>
      <c r="F591" s="2819" t="s">
        <v>78</v>
      </c>
      <c r="G591" s="2820" t="s">
        <v>77</v>
      </c>
      <c r="H591" s="2820" t="s">
        <v>496</v>
      </c>
      <c r="I591" s="2820" t="s">
        <v>456</v>
      </c>
      <c r="J591" s="2821">
        <v>48</v>
      </c>
      <c r="K591" s="2821">
        <v>240.5</v>
      </c>
      <c r="L591" s="2821">
        <v>240.5</v>
      </c>
      <c r="M591" s="2822">
        <v>240.5</v>
      </c>
      <c r="N591" s="2962">
        <v>690.87300000000005</v>
      </c>
      <c r="O591" s="2823">
        <v>531.38</v>
      </c>
      <c r="P591" s="2824">
        <v>584.51300000000003</v>
      </c>
      <c r="Q591" s="2825">
        <v>639.61699999999996</v>
      </c>
      <c r="R591" s="2826">
        <v>665.20100000000002</v>
      </c>
      <c r="S591" s="2827"/>
      <c r="T591" s="2827"/>
      <c r="U591" s="2827"/>
      <c r="V591" s="2962">
        <v>718.50800000000004</v>
      </c>
      <c r="W591" s="2962">
        <v>747.24800000000005</v>
      </c>
      <c r="X591" s="2828"/>
      <c r="Z591" s="2830"/>
    </row>
    <row r="592" spans="1:26" ht="13" hidden="1" x14ac:dyDescent="0.3">
      <c r="A592" s="91"/>
      <c r="B592" s="1253" t="s">
        <v>1168</v>
      </c>
      <c r="C592" s="9"/>
      <c r="D592" s="9" t="s">
        <v>15</v>
      </c>
      <c r="E592" s="9" t="s">
        <v>13</v>
      </c>
      <c r="F592" s="34" t="s">
        <v>1231</v>
      </c>
      <c r="G592" s="33"/>
      <c r="H592" s="33"/>
      <c r="I592" s="33"/>
      <c r="J592" s="47"/>
      <c r="K592" s="1063"/>
      <c r="L592" s="1063"/>
      <c r="M592" s="1125"/>
      <c r="N592" s="2520">
        <f>N593</f>
        <v>0</v>
      </c>
      <c r="O592" s="2585"/>
      <c r="P592" s="2586"/>
      <c r="Q592" s="2587"/>
      <c r="R592" s="2588"/>
      <c r="S592" s="2545"/>
      <c r="T592" s="2545"/>
      <c r="U592" s="2545"/>
      <c r="V592" s="2520">
        <f t="shared" ref="V592:W594" si="272">V593</f>
        <v>0</v>
      </c>
      <c r="W592" s="2520">
        <f t="shared" si="272"/>
        <v>0</v>
      </c>
    </row>
    <row r="593" spans="1:26" ht="26" hidden="1" x14ac:dyDescent="0.3">
      <c r="A593" s="91"/>
      <c r="B593" s="724" t="s">
        <v>948</v>
      </c>
      <c r="C593" s="9"/>
      <c r="D593" s="9"/>
      <c r="E593" s="9"/>
      <c r="F593" s="9" t="s">
        <v>1231</v>
      </c>
      <c r="G593" s="9" t="s">
        <v>955</v>
      </c>
      <c r="H593" s="9"/>
      <c r="I593" s="33"/>
      <c r="J593" s="47"/>
      <c r="K593" s="1063"/>
      <c r="L593" s="1063"/>
      <c r="M593" s="1125"/>
      <c r="N593" s="2520">
        <f>N594</f>
        <v>0</v>
      </c>
      <c r="O593" s="2585"/>
      <c r="P593" s="2586"/>
      <c r="Q593" s="2587"/>
      <c r="R593" s="2588"/>
      <c r="S593" s="2545"/>
      <c r="T593" s="2545"/>
      <c r="U593" s="2545"/>
      <c r="V593" s="2520">
        <f t="shared" si="272"/>
        <v>0</v>
      </c>
      <c r="W593" s="2520">
        <f t="shared" si="272"/>
        <v>0</v>
      </c>
    </row>
    <row r="594" spans="1:26" ht="13" hidden="1" x14ac:dyDescent="0.3">
      <c r="A594" s="91"/>
      <c r="B594" s="744" t="s">
        <v>16</v>
      </c>
      <c r="C594" s="9"/>
      <c r="D594" s="9"/>
      <c r="E594" s="9"/>
      <c r="F594" s="9" t="s">
        <v>1231</v>
      </c>
      <c r="G594" s="9" t="s">
        <v>1</v>
      </c>
      <c r="H594" s="9"/>
      <c r="I594" s="9"/>
      <c r="J594" s="47"/>
      <c r="K594" s="1063"/>
      <c r="L594" s="1063"/>
      <c r="M594" s="1125"/>
      <c r="N594" s="2520">
        <f>N595</f>
        <v>0</v>
      </c>
      <c r="O594" s="2585"/>
      <c r="P594" s="2586"/>
      <c r="Q594" s="2587"/>
      <c r="R594" s="2588"/>
      <c r="S594" s="2545"/>
      <c r="T594" s="2545"/>
      <c r="U594" s="2545"/>
      <c r="V594" s="2520">
        <f t="shared" si="272"/>
        <v>0</v>
      </c>
      <c r="W594" s="2520">
        <f t="shared" si="272"/>
        <v>0</v>
      </c>
    </row>
    <row r="595" spans="1:26" ht="13" hidden="1" x14ac:dyDescent="0.3">
      <c r="A595" s="91"/>
      <c r="B595" s="2814" t="s">
        <v>1161</v>
      </c>
      <c r="C595" s="9"/>
      <c r="D595" s="9"/>
      <c r="E595" s="9"/>
      <c r="F595" s="9"/>
      <c r="G595" s="9" t="s">
        <v>1</v>
      </c>
      <c r="H595" s="9" t="s">
        <v>452</v>
      </c>
      <c r="I595" s="9" t="s">
        <v>463</v>
      </c>
      <c r="J595" s="47"/>
      <c r="K595" s="1063"/>
      <c r="L595" s="1063"/>
      <c r="M595" s="1125"/>
      <c r="N595" s="2520"/>
      <c r="O595" s="2585"/>
      <c r="P595" s="2586"/>
      <c r="Q595" s="2587"/>
      <c r="R595" s="2588"/>
      <c r="S595" s="2545"/>
      <c r="T595" s="2545"/>
      <c r="U595" s="2545"/>
      <c r="V595" s="2520">
        <v>0</v>
      </c>
      <c r="W595" s="2520">
        <v>0</v>
      </c>
    </row>
    <row r="596" spans="1:26" s="2829" customFormat="1" ht="26" x14ac:dyDescent="0.25">
      <c r="A596" s="2831"/>
      <c r="B596" s="2832" t="s">
        <v>72</v>
      </c>
      <c r="C596" s="2818"/>
      <c r="D596" s="2833" t="s">
        <v>69</v>
      </c>
      <c r="E596" s="2818" t="s">
        <v>66</v>
      </c>
      <c r="F596" s="2834" t="s">
        <v>67</v>
      </c>
      <c r="G596" s="2833" t="s">
        <v>71</v>
      </c>
      <c r="H596" s="2833"/>
      <c r="I596" s="2818"/>
      <c r="J596" s="2835">
        <f>J598</f>
        <v>2173</v>
      </c>
      <c r="K596" s="2835"/>
      <c r="L596" s="2835">
        <f t="shared" ref="L596:R596" si="273">L598</f>
        <v>2000</v>
      </c>
      <c r="M596" s="2836">
        <f t="shared" si="273"/>
        <v>2000</v>
      </c>
      <c r="N596" s="2837">
        <f t="shared" si="273"/>
        <v>1000</v>
      </c>
      <c r="O596" s="2838">
        <f t="shared" si="273"/>
        <v>2500.6</v>
      </c>
      <c r="P596" s="2839">
        <f t="shared" si="273"/>
        <v>2701.74</v>
      </c>
      <c r="Q596" s="2840">
        <f t="shared" si="273"/>
        <v>2900</v>
      </c>
      <c r="R596" s="2841">
        <f t="shared" si="273"/>
        <v>2980</v>
      </c>
      <c r="S596" s="2842"/>
      <c r="T596" s="2842"/>
      <c r="U596" s="2842"/>
      <c r="V596" s="2837">
        <f t="shared" ref="V596:W596" si="274">V598</f>
        <v>0</v>
      </c>
      <c r="W596" s="2837">
        <f t="shared" si="274"/>
        <v>2650</v>
      </c>
      <c r="X596" s="2828"/>
      <c r="Z596" s="2830"/>
    </row>
    <row r="597" spans="1:26" ht="22" customHeight="1" x14ac:dyDescent="0.25">
      <c r="A597" s="32"/>
      <c r="B597" s="2152" t="s">
        <v>1065</v>
      </c>
      <c r="C597" s="9"/>
      <c r="D597" s="88" t="s">
        <v>1065</v>
      </c>
      <c r="E597" s="9"/>
      <c r="F597" s="9" t="s">
        <v>67</v>
      </c>
      <c r="G597" s="88">
        <v>800</v>
      </c>
      <c r="H597" s="88"/>
      <c r="I597" s="9"/>
      <c r="J597" s="1061"/>
      <c r="K597" s="1061"/>
      <c r="L597" s="1061"/>
      <c r="M597" s="1550"/>
      <c r="N597" s="2520">
        <f>N598</f>
        <v>1000</v>
      </c>
      <c r="O597" s="2550"/>
      <c r="P597" s="2551"/>
      <c r="Q597" s="2552"/>
      <c r="R597" s="2553"/>
      <c r="S597" s="2514"/>
      <c r="T597" s="2514"/>
      <c r="U597" s="2514"/>
      <c r="V597" s="2549">
        <f t="shared" ref="V597:W597" si="275">V598</f>
        <v>0</v>
      </c>
      <c r="W597" s="2549">
        <f t="shared" si="275"/>
        <v>2650</v>
      </c>
    </row>
    <row r="598" spans="1:26" ht="13" x14ac:dyDescent="0.3">
      <c r="A598" s="32"/>
      <c r="B598" s="744" t="s">
        <v>70</v>
      </c>
      <c r="C598" s="9"/>
      <c r="D598" s="88" t="s">
        <v>69</v>
      </c>
      <c r="E598" s="9" t="s">
        <v>66</v>
      </c>
      <c r="F598" s="9" t="s">
        <v>67</v>
      </c>
      <c r="G598" s="88">
        <v>870</v>
      </c>
      <c r="H598" s="88"/>
      <c r="I598" s="9"/>
      <c r="J598" s="1061">
        <f>J599</f>
        <v>2173</v>
      </c>
      <c r="K598" s="1061"/>
      <c r="L598" s="1061">
        <v>2000</v>
      </c>
      <c r="M598" s="1550">
        <v>2000</v>
      </c>
      <c r="N598" s="2520">
        <f>N599</f>
        <v>1000</v>
      </c>
      <c r="O598" s="2541">
        <f>O599</f>
        <v>2500.6</v>
      </c>
      <c r="P598" s="2542">
        <f>P599</f>
        <v>2701.74</v>
      </c>
      <c r="Q598" s="2543">
        <f>Q599</f>
        <v>2900</v>
      </c>
      <c r="R598" s="2544">
        <f>R599</f>
        <v>2980</v>
      </c>
      <c r="S598" s="2514"/>
      <c r="T598" s="2514"/>
      <c r="U598" s="2514"/>
      <c r="V598" s="2520">
        <f>V599</f>
        <v>0</v>
      </c>
      <c r="W598" s="2520">
        <f>W599</f>
        <v>2650</v>
      </c>
    </row>
    <row r="599" spans="1:26" ht="13" x14ac:dyDescent="0.3">
      <c r="A599" s="32"/>
      <c r="B599" s="2003" t="s">
        <v>68</v>
      </c>
      <c r="C599" s="9"/>
      <c r="D599" s="88"/>
      <c r="E599" s="9"/>
      <c r="F599" s="9" t="s">
        <v>67</v>
      </c>
      <c r="G599" s="88">
        <v>870</v>
      </c>
      <c r="H599" s="9" t="s">
        <v>456</v>
      </c>
      <c r="I599" s="9" t="s">
        <v>464</v>
      </c>
      <c r="J599" s="1061">
        <f>2175-2</f>
        <v>2173</v>
      </c>
      <c r="K599" s="1061"/>
      <c r="L599" s="1061">
        <v>2000</v>
      </c>
      <c r="M599" s="1550">
        <v>2000</v>
      </c>
      <c r="N599" s="2520">
        <f>2400-1400</f>
        <v>1000</v>
      </c>
      <c r="O599" s="2541">
        <v>2500.6</v>
      </c>
      <c r="P599" s="2542">
        <v>2701.74</v>
      </c>
      <c r="Q599" s="2543">
        <v>2900</v>
      </c>
      <c r="R599" s="2544">
        <v>2980</v>
      </c>
      <c r="S599" s="2514"/>
      <c r="T599" s="2514"/>
      <c r="U599" s="2514"/>
      <c r="V599" s="2520">
        <f>2500-2500</f>
        <v>0</v>
      </c>
      <c r="W599" s="2520">
        <v>2650</v>
      </c>
    </row>
    <row r="600" spans="1:26" ht="39" hidden="1" x14ac:dyDescent="0.25">
      <c r="A600" s="32"/>
      <c r="B600" s="1993" t="s">
        <v>65</v>
      </c>
      <c r="C600" s="9"/>
      <c r="D600" s="88"/>
      <c r="E600" s="9"/>
      <c r="F600" s="34" t="s">
        <v>63</v>
      </c>
      <c r="G600" s="88"/>
      <c r="H600" s="88"/>
      <c r="I600" s="9"/>
      <c r="J600" s="1061"/>
      <c r="K600" s="1061"/>
      <c r="L600" s="1061"/>
      <c r="M600" s="1124"/>
      <c r="N600" s="2520"/>
      <c r="O600" s="2541"/>
      <c r="P600" s="2542"/>
      <c r="Q600" s="2543"/>
      <c r="R600" s="2544"/>
      <c r="S600" s="2514"/>
      <c r="T600" s="2514"/>
      <c r="U600" s="2514"/>
      <c r="V600" s="2520"/>
      <c r="W600" s="2520"/>
    </row>
    <row r="601" spans="1:26" ht="26" hidden="1" x14ac:dyDescent="0.25">
      <c r="A601" s="32"/>
      <c r="B601" s="1993" t="s">
        <v>4</v>
      </c>
      <c r="C601" s="9"/>
      <c r="D601" s="88"/>
      <c r="E601" s="9"/>
      <c r="F601" s="9" t="s">
        <v>63</v>
      </c>
      <c r="G601" s="9" t="s">
        <v>1</v>
      </c>
      <c r="H601" s="9"/>
      <c r="I601" s="9"/>
      <c r="J601" s="1061"/>
      <c r="K601" s="1061"/>
      <c r="L601" s="1061"/>
      <c r="M601" s="1124"/>
      <c r="N601" s="2520"/>
      <c r="O601" s="2541"/>
      <c r="P601" s="2542"/>
      <c r="Q601" s="2543"/>
      <c r="R601" s="2544"/>
      <c r="S601" s="2514"/>
      <c r="T601" s="2514"/>
      <c r="U601" s="2514"/>
      <c r="V601" s="2520"/>
      <c r="W601" s="2520"/>
    </row>
    <row r="602" spans="1:26" s="83" customFormat="1" ht="13" hidden="1" x14ac:dyDescent="0.3">
      <c r="A602" s="32"/>
      <c r="B602" s="49" t="s">
        <v>64</v>
      </c>
      <c r="C602" s="9"/>
      <c r="D602" s="88"/>
      <c r="E602" s="9"/>
      <c r="F602" s="9" t="s">
        <v>63</v>
      </c>
      <c r="G602" s="9" t="s">
        <v>1</v>
      </c>
      <c r="H602" s="9"/>
      <c r="I602" s="9" t="s">
        <v>62</v>
      </c>
      <c r="J602" s="1061"/>
      <c r="K602" s="1061"/>
      <c r="L602" s="1061"/>
      <c r="M602" s="1124"/>
      <c r="N602" s="2520"/>
      <c r="O602" s="2541"/>
      <c r="P602" s="2542"/>
      <c r="Q602" s="2543"/>
      <c r="R602" s="2544"/>
      <c r="S602" s="2514"/>
      <c r="T602" s="2514"/>
      <c r="U602" s="2514"/>
      <c r="V602" s="2520"/>
      <c r="W602" s="2520"/>
      <c r="X602" s="84"/>
      <c r="Z602" s="2141"/>
    </row>
    <row r="603" spans="1:26" s="83" customFormat="1" ht="26" hidden="1" x14ac:dyDescent="0.3">
      <c r="A603" s="32"/>
      <c r="B603" s="58" t="s">
        <v>29</v>
      </c>
      <c r="C603" s="9"/>
      <c r="D603" s="9" t="s">
        <v>15</v>
      </c>
      <c r="E603" s="9" t="s">
        <v>9</v>
      </c>
      <c r="F603" s="34" t="s">
        <v>27</v>
      </c>
      <c r="G603" s="48"/>
      <c r="H603" s="48"/>
      <c r="I603" s="9"/>
      <c r="J603" s="57">
        <f>J605</f>
        <v>0</v>
      </c>
      <c r="K603" s="1061"/>
      <c r="L603" s="1061"/>
      <c r="M603" s="1124"/>
      <c r="N603" s="2546">
        <f>N605</f>
        <v>0</v>
      </c>
      <c r="O603" s="2614">
        <f>O605</f>
        <v>0</v>
      </c>
      <c r="P603" s="2614">
        <f>P605</f>
        <v>0</v>
      </c>
      <c r="Q603" s="2615">
        <f>Q605</f>
        <v>0</v>
      </c>
      <c r="R603" s="2616">
        <f>R605</f>
        <v>0</v>
      </c>
      <c r="S603" s="2514"/>
      <c r="T603" s="2514"/>
      <c r="U603" s="2514"/>
      <c r="V603" s="2546">
        <f>V605</f>
        <v>0</v>
      </c>
      <c r="W603" s="2546">
        <f>W605</f>
        <v>0</v>
      </c>
      <c r="X603" s="84"/>
      <c r="Z603" s="2141"/>
    </row>
    <row r="604" spans="1:26" s="83" customFormat="1" ht="13" hidden="1" x14ac:dyDescent="0.3">
      <c r="A604" s="32"/>
      <c r="B604" s="2080" t="s">
        <v>28</v>
      </c>
      <c r="C604" s="9"/>
      <c r="D604" s="9"/>
      <c r="E604" s="9"/>
      <c r="F604" s="9" t="s">
        <v>27</v>
      </c>
      <c r="G604" s="9" t="s">
        <v>26</v>
      </c>
      <c r="H604" s="9"/>
      <c r="I604" s="9"/>
      <c r="J604" s="1061"/>
      <c r="K604" s="1061"/>
      <c r="L604" s="1061"/>
      <c r="M604" s="1124"/>
      <c r="N604" s="2520"/>
      <c r="O604" s="2541"/>
      <c r="P604" s="2542"/>
      <c r="Q604" s="2543"/>
      <c r="R604" s="2544"/>
      <c r="S604" s="2514"/>
      <c r="T604" s="2514"/>
      <c r="U604" s="2514"/>
      <c r="V604" s="2520"/>
      <c r="W604" s="2520"/>
      <c r="X604" s="84"/>
      <c r="Z604" s="2141"/>
    </row>
    <row r="605" spans="1:26" s="83" customFormat="1" ht="13" hidden="1" x14ac:dyDescent="0.3">
      <c r="A605" s="32"/>
      <c r="B605" s="744" t="s">
        <v>11</v>
      </c>
      <c r="C605" s="9"/>
      <c r="D605" s="9" t="s">
        <v>15</v>
      </c>
      <c r="E605" s="9" t="s">
        <v>9</v>
      </c>
      <c r="F605" s="9" t="s">
        <v>27</v>
      </c>
      <c r="G605" s="9" t="s">
        <v>26</v>
      </c>
      <c r="H605" s="9"/>
      <c r="I605" s="9" t="s">
        <v>9</v>
      </c>
      <c r="J605" s="1061"/>
      <c r="K605" s="1061"/>
      <c r="L605" s="1061"/>
      <c r="M605" s="1124"/>
      <c r="N605" s="2520"/>
      <c r="O605" s="2541"/>
      <c r="P605" s="2542"/>
      <c r="Q605" s="2543"/>
      <c r="R605" s="2544"/>
      <c r="S605" s="2514"/>
      <c r="T605" s="2514"/>
      <c r="U605" s="2514"/>
      <c r="V605" s="2520"/>
      <c r="W605" s="2520"/>
      <c r="X605" s="84"/>
      <c r="Z605" s="2141"/>
    </row>
    <row r="606" spans="1:26" s="83" customFormat="1" ht="26" hidden="1" x14ac:dyDescent="0.3">
      <c r="A606" s="32"/>
      <c r="B606" s="1098" t="s">
        <v>863</v>
      </c>
      <c r="C606" s="9"/>
      <c r="D606" s="88"/>
      <c r="E606" s="9"/>
      <c r="F606" s="34" t="s">
        <v>862</v>
      </c>
      <c r="G606" s="88"/>
      <c r="H606" s="88"/>
      <c r="I606" s="9"/>
      <c r="J606" s="1061"/>
      <c r="K606" s="1061"/>
      <c r="L606" s="1061"/>
      <c r="M606" s="1124"/>
      <c r="N606" s="2549"/>
      <c r="O606" s="2541"/>
      <c r="P606" s="2542"/>
      <c r="Q606" s="2552"/>
      <c r="R606" s="2553"/>
      <c r="S606" s="2514"/>
      <c r="T606" s="2514"/>
      <c r="U606" s="2514"/>
      <c r="V606" s="2549"/>
      <c r="W606" s="2549"/>
      <c r="X606" s="84"/>
      <c r="Z606" s="2141"/>
    </row>
    <row r="607" spans="1:26" s="83" customFormat="1" ht="26" hidden="1" x14ac:dyDescent="0.3">
      <c r="A607" s="32"/>
      <c r="B607" s="1993" t="s">
        <v>4</v>
      </c>
      <c r="C607" s="89"/>
      <c r="D607" s="9" t="s">
        <v>52</v>
      </c>
      <c r="E607" s="9" t="s">
        <v>58</v>
      </c>
      <c r="F607" s="9" t="s">
        <v>862</v>
      </c>
      <c r="G607" s="88">
        <v>240</v>
      </c>
      <c r="H607" s="88"/>
      <c r="I607" s="1063"/>
      <c r="J607" s="1061"/>
      <c r="K607" s="1063"/>
      <c r="L607" s="1063"/>
      <c r="M607" s="84"/>
      <c r="N607" s="2520"/>
      <c r="O607" s="2541"/>
      <c r="P607" s="2542"/>
      <c r="Q607" s="2543"/>
      <c r="R607" s="2544"/>
      <c r="S607" s="2514"/>
      <c r="T607" s="2514"/>
      <c r="U607" s="2514"/>
      <c r="V607" s="2520"/>
      <c r="W607" s="2520"/>
      <c r="X607" s="84"/>
      <c r="Z607" s="2141"/>
    </row>
    <row r="608" spans="1:26" s="83" customFormat="1" ht="13" hidden="1" x14ac:dyDescent="0.3">
      <c r="A608" s="32"/>
      <c r="B608" s="90" t="s">
        <v>60</v>
      </c>
      <c r="C608" s="89"/>
      <c r="D608" s="9"/>
      <c r="E608" s="9"/>
      <c r="F608" s="9" t="s">
        <v>862</v>
      </c>
      <c r="G608" s="88">
        <v>240</v>
      </c>
      <c r="H608" s="9" t="s">
        <v>452</v>
      </c>
      <c r="I608" s="9" t="s">
        <v>539</v>
      </c>
      <c r="J608" s="1061"/>
      <c r="K608" s="1063"/>
      <c r="L608" s="1063"/>
      <c r="M608" s="84"/>
      <c r="N608" s="2520"/>
      <c r="O608" s="2541"/>
      <c r="P608" s="2542"/>
      <c r="Q608" s="2543"/>
      <c r="R608" s="2544"/>
      <c r="S608" s="2514"/>
      <c r="T608" s="2514"/>
      <c r="U608" s="2514"/>
      <c r="V608" s="2520"/>
      <c r="W608" s="2520"/>
      <c r="X608" s="84"/>
      <c r="Z608" s="2141"/>
    </row>
    <row r="609" spans="1:28" s="83" customFormat="1" ht="13" hidden="1" x14ac:dyDescent="0.3">
      <c r="A609" s="85"/>
      <c r="B609" s="49" t="s">
        <v>57</v>
      </c>
      <c r="C609" s="9"/>
      <c r="D609" s="9" t="s">
        <v>52</v>
      </c>
      <c r="E609" s="9" t="s">
        <v>49</v>
      </c>
      <c r="F609" s="34" t="s">
        <v>56</v>
      </c>
      <c r="G609" s="34"/>
      <c r="H609" s="34"/>
      <c r="I609" s="9"/>
      <c r="J609" s="1065">
        <f>J610</f>
        <v>0</v>
      </c>
      <c r="K609" s="1065"/>
      <c r="L609" s="1065">
        <f t="shared" ref="L609:R609" si="276">L610</f>
        <v>0</v>
      </c>
      <c r="M609" s="1552">
        <f t="shared" si="276"/>
        <v>0</v>
      </c>
      <c r="N609" s="2549">
        <f t="shared" si="276"/>
        <v>0</v>
      </c>
      <c r="O609" s="2550">
        <f t="shared" si="276"/>
        <v>0</v>
      </c>
      <c r="P609" s="2551">
        <f t="shared" si="276"/>
        <v>0</v>
      </c>
      <c r="Q609" s="2552">
        <f t="shared" si="276"/>
        <v>0</v>
      </c>
      <c r="R609" s="2553">
        <f t="shared" si="276"/>
        <v>0</v>
      </c>
      <c r="S609" s="2545"/>
      <c r="T609" s="2545"/>
      <c r="U609" s="2545"/>
      <c r="V609" s="2549">
        <f t="shared" ref="V609:W609" si="277">V610</f>
        <v>0</v>
      </c>
      <c r="W609" s="2549">
        <f t="shared" si="277"/>
        <v>0</v>
      </c>
      <c r="X609" s="84"/>
      <c r="Z609" s="2141"/>
    </row>
    <row r="610" spans="1:28" s="83" customFormat="1" ht="26" hidden="1" x14ac:dyDescent="0.3">
      <c r="A610" s="85"/>
      <c r="B610" s="1993" t="s">
        <v>4</v>
      </c>
      <c r="C610" s="9"/>
      <c r="D610" s="9" t="s">
        <v>52</v>
      </c>
      <c r="E610" s="9" t="s">
        <v>49</v>
      </c>
      <c r="F610" s="9" t="s">
        <v>56</v>
      </c>
      <c r="G610" s="9" t="s">
        <v>1</v>
      </c>
      <c r="H610" s="9"/>
      <c r="I610" s="9"/>
      <c r="J610" s="1063">
        <f>J611</f>
        <v>0</v>
      </c>
      <c r="K610" s="1063"/>
      <c r="L610" s="1063"/>
      <c r="M610" s="1125"/>
      <c r="N610" s="2520">
        <f>N611</f>
        <v>0</v>
      </c>
      <c r="O610" s="2541">
        <f>O611</f>
        <v>0</v>
      </c>
      <c r="P610" s="2542">
        <f>P611</f>
        <v>0</v>
      </c>
      <c r="Q610" s="2543">
        <f>Q611</f>
        <v>0</v>
      </c>
      <c r="R610" s="2544">
        <f>R611</f>
        <v>0</v>
      </c>
      <c r="S610" s="2545"/>
      <c r="T610" s="2545"/>
      <c r="U610" s="2545"/>
      <c r="V610" s="2520">
        <f>V611</f>
        <v>0</v>
      </c>
      <c r="W610" s="2520">
        <f>W611</f>
        <v>0</v>
      </c>
      <c r="X610" s="84"/>
      <c r="Z610" s="2141"/>
    </row>
    <row r="611" spans="1:28" s="83" customFormat="1" ht="13" hidden="1" x14ac:dyDescent="0.3">
      <c r="A611" s="85"/>
      <c r="B611" s="2003" t="s">
        <v>51</v>
      </c>
      <c r="C611" s="9"/>
      <c r="D611" s="9"/>
      <c r="E611" s="9"/>
      <c r="F611" s="9" t="s">
        <v>56</v>
      </c>
      <c r="G611" s="9" t="s">
        <v>1</v>
      </c>
      <c r="H611" s="9"/>
      <c r="I611" s="9" t="s">
        <v>49</v>
      </c>
      <c r="J611" s="1063"/>
      <c r="K611" s="1063"/>
      <c r="L611" s="1063"/>
      <c r="M611" s="1125"/>
      <c r="N611" s="2520"/>
      <c r="O611" s="2541"/>
      <c r="P611" s="2542"/>
      <c r="Q611" s="2543"/>
      <c r="R611" s="2544"/>
      <c r="S611" s="2545"/>
      <c r="T611" s="2545"/>
      <c r="U611" s="2545"/>
      <c r="V611" s="2520"/>
      <c r="W611" s="2520"/>
      <c r="X611" s="84"/>
      <c r="Z611" s="2141"/>
    </row>
    <row r="612" spans="1:28" s="83" customFormat="1" ht="13" hidden="1" x14ac:dyDescent="0.3">
      <c r="A612" s="85"/>
      <c r="B612" s="49" t="s">
        <v>55</v>
      </c>
      <c r="C612" s="9"/>
      <c r="D612" s="9" t="s">
        <v>52</v>
      </c>
      <c r="E612" s="9" t="s">
        <v>49</v>
      </c>
      <c r="F612" s="34" t="s">
        <v>54</v>
      </c>
      <c r="G612" s="9"/>
      <c r="H612" s="9"/>
      <c r="I612" s="9"/>
      <c r="J612" s="1065">
        <f>J613</f>
        <v>94.8</v>
      </c>
      <c r="K612" s="1065"/>
      <c r="L612" s="1065">
        <f t="shared" ref="L612:R612" si="278">L613</f>
        <v>64.8</v>
      </c>
      <c r="M612" s="1552">
        <f t="shared" si="278"/>
        <v>64.8</v>
      </c>
      <c r="N612" s="2549">
        <f t="shared" si="278"/>
        <v>0</v>
      </c>
      <c r="O612" s="2550">
        <f t="shared" si="278"/>
        <v>0</v>
      </c>
      <c r="P612" s="2551">
        <f t="shared" si="278"/>
        <v>0</v>
      </c>
      <c r="Q612" s="2552">
        <f t="shared" si="278"/>
        <v>0</v>
      </c>
      <c r="R612" s="2553">
        <f t="shared" si="278"/>
        <v>0</v>
      </c>
      <c r="S612" s="2545"/>
      <c r="T612" s="2545"/>
      <c r="U612" s="2545"/>
      <c r="V612" s="2549">
        <f t="shared" ref="V612:W612" si="279">V613</f>
        <v>0</v>
      </c>
      <c r="W612" s="2549">
        <f t="shared" si="279"/>
        <v>0</v>
      </c>
      <c r="X612" s="84"/>
      <c r="Z612" s="2141"/>
    </row>
    <row r="613" spans="1:28" s="83" customFormat="1" ht="26" hidden="1" x14ac:dyDescent="0.3">
      <c r="A613" s="85"/>
      <c r="B613" s="1993" t="s">
        <v>4</v>
      </c>
      <c r="C613" s="9"/>
      <c r="D613" s="9" t="s">
        <v>52</v>
      </c>
      <c r="E613" s="9" t="s">
        <v>49</v>
      </c>
      <c r="F613" s="9" t="s">
        <v>54</v>
      </c>
      <c r="G613" s="9" t="s">
        <v>1</v>
      </c>
      <c r="H613" s="9"/>
      <c r="I613" s="9"/>
      <c r="J613" s="1063">
        <f>J614</f>
        <v>94.8</v>
      </c>
      <c r="K613" s="1063"/>
      <c r="L613" s="1063">
        <v>64.8</v>
      </c>
      <c r="M613" s="1125">
        <v>64.8</v>
      </c>
      <c r="N613" s="2520">
        <f>N614</f>
        <v>0</v>
      </c>
      <c r="O613" s="2541">
        <f>O614</f>
        <v>0</v>
      </c>
      <c r="P613" s="2542">
        <f>P614</f>
        <v>0</v>
      </c>
      <c r="Q613" s="2543">
        <f>Q614</f>
        <v>0</v>
      </c>
      <c r="R613" s="2544">
        <f>R614</f>
        <v>0</v>
      </c>
      <c r="S613" s="2545"/>
      <c r="T613" s="2545"/>
      <c r="U613" s="2545"/>
      <c r="V613" s="2520">
        <f>V614</f>
        <v>0</v>
      </c>
      <c r="W613" s="2520">
        <f>W614</f>
        <v>0</v>
      </c>
      <c r="X613" s="84"/>
      <c r="Z613" s="2141"/>
    </row>
    <row r="614" spans="1:28" s="83" customFormat="1" ht="13" hidden="1" x14ac:dyDescent="0.3">
      <c r="A614" s="85"/>
      <c r="B614" s="2003" t="s">
        <v>51</v>
      </c>
      <c r="C614" s="9"/>
      <c r="D614" s="9"/>
      <c r="E614" s="9"/>
      <c r="F614" s="9" t="s">
        <v>54</v>
      </c>
      <c r="G614" s="9" t="s">
        <v>1</v>
      </c>
      <c r="H614" s="9"/>
      <c r="I614" s="9" t="s">
        <v>49</v>
      </c>
      <c r="J614" s="1063">
        <v>94.8</v>
      </c>
      <c r="K614" s="1063"/>
      <c r="L614" s="1063">
        <v>64.8</v>
      </c>
      <c r="M614" s="1125">
        <v>64.8</v>
      </c>
      <c r="N614" s="2520"/>
      <c r="O614" s="2541"/>
      <c r="P614" s="2542"/>
      <c r="Q614" s="2543"/>
      <c r="R614" s="2544"/>
      <c r="S614" s="2545"/>
      <c r="T614" s="2545"/>
      <c r="U614" s="2545"/>
      <c r="V614" s="2520"/>
      <c r="W614" s="2520"/>
      <c r="X614" s="84"/>
      <c r="Z614" s="2141"/>
    </row>
    <row r="615" spans="1:28" s="83" customFormat="1" ht="13" hidden="1" x14ac:dyDescent="0.3">
      <c r="A615" s="85"/>
      <c r="B615" s="262" t="s">
        <v>1174</v>
      </c>
      <c r="C615" s="9"/>
      <c r="D615" s="94"/>
      <c r="E615" s="34"/>
      <c r="F615" s="79" t="s">
        <v>1173</v>
      </c>
      <c r="G615" s="9"/>
      <c r="H615" s="9"/>
      <c r="I615" s="33"/>
      <c r="J615" s="1125"/>
      <c r="K615" s="1122"/>
      <c r="L615" s="1122"/>
      <c r="M615" s="1122"/>
      <c r="N615" s="2520">
        <f>N616</f>
        <v>0</v>
      </c>
      <c r="O615" s="2617"/>
      <c r="P615" s="2617"/>
      <c r="Q615" s="2618"/>
      <c r="R615" s="2619"/>
      <c r="S615" s="2620"/>
      <c r="T615" s="2620"/>
      <c r="U615" s="2620"/>
      <c r="V615" s="2520">
        <f t="shared" ref="V615:W617" si="280">V616</f>
        <v>0</v>
      </c>
      <c r="W615" s="2520">
        <f t="shared" si="280"/>
        <v>0</v>
      </c>
      <c r="X615" s="84"/>
      <c r="Z615" s="2141"/>
    </row>
    <row r="616" spans="1:28" s="83" customFormat="1" ht="26" hidden="1" x14ac:dyDescent="0.3">
      <c r="A616" s="85"/>
      <c r="B616" s="2153" t="s">
        <v>948</v>
      </c>
      <c r="C616" s="9"/>
      <c r="D616" s="94"/>
      <c r="E616" s="34"/>
      <c r="F616" s="77" t="s">
        <v>1173</v>
      </c>
      <c r="G616" s="9" t="s">
        <v>955</v>
      </c>
      <c r="H616" s="9"/>
      <c r="I616" s="33"/>
      <c r="J616" s="1125"/>
      <c r="K616" s="1122"/>
      <c r="L616" s="1122"/>
      <c r="M616" s="1122"/>
      <c r="N616" s="2520">
        <f>N617</f>
        <v>0</v>
      </c>
      <c r="O616" s="2617"/>
      <c r="P616" s="2617"/>
      <c r="Q616" s="2618"/>
      <c r="R616" s="2619"/>
      <c r="S616" s="2620"/>
      <c r="T616" s="2620"/>
      <c r="U616" s="2620"/>
      <c r="V616" s="2520">
        <f t="shared" si="280"/>
        <v>0</v>
      </c>
      <c r="W616" s="2520">
        <f t="shared" si="280"/>
        <v>0</v>
      </c>
      <c r="X616" s="84"/>
      <c r="Z616" s="2141"/>
    </row>
    <row r="617" spans="1:28" s="83" customFormat="1" ht="13" hidden="1" x14ac:dyDescent="0.3">
      <c r="A617" s="85"/>
      <c r="B617" s="2012" t="s">
        <v>16</v>
      </c>
      <c r="C617" s="89"/>
      <c r="D617" s="9" t="s">
        <v>44</v>
      </c>
      <c r="E617" s="9" t="s">
        <v>76</v>
      </c>
      <c r="F617" s="77" t="s">
        <v>1173</v>
      </c>
      <c r="G617" s="9" t="s">
        <v>1</v>
      </c>
      <c r="H617" s="33"/>
      <c r="I617" s="89"/>
      <c r="J617" s="1125"/>
      <c r="K617" s="1122"/>
      <c r="L617" s="1122"/>
      <c r="M617" s="1122"/>
      <c r="N617" s="2520">
        <f>N618</f>
        <v>0</v>
      </c>
      <c r="O617" s="2617"/>
      <c r="P617" s="2617"/>
      <c r="Q617" s="2618"/>
      <c r="R617" s="2619"/>
      <c r="S617" s="2620"/>
      <c r="T617" s="2620"/>
      <c r="U617" s="2620"/>
      <c r="V617" s="2520">
        <f t="shared" si="280"/>
        <v>0</v>
      </c>
      <c r="W617" s="2520">
        <f t="shared" si="280"/>
        <v>0</v>
      </c>
      <c r="X617" s="84"/>
      <c r="Z617" s="2141"/>
    </row>
    <row r="618" spans="1:28" s="83" customFormat="1" ht="13" hidden="1" x14ac:dyDescent="0.3">
      <c r="A618" s="85"/>
      <c r="B618" s="90" t="s">
        <v>34</v>
      </c>
      <c r="C618" s="89"/>
      <c r="D618" s="9" t="s">
        <v>44</v>
      </c>
      <c r="E618" s="9" t="s">
        <v>76</v>
      </c>
      <c r="F618" s="77" t="s">
        <v>1173</v>
      </c>
      <c r="G618" s="9" t="s">
        <v>1</v>
      </c>
      <c r="H618" s="33" t="s">
        <v>463</v>
      </c>
      <c r="I618" s="33" t="s">
        <v>495</v>
      </c>
      <c r="J618" s="1125"/>
      <c r="K618" s="1122"/>
      <c r="L618" s="1122"/>
      <c r="M618" s="1122"/>
      <c r="N618" s="2520">
        <v>0</v>
      </c>
      <c r="O618" s="2617"/>
      <c r="P618" s="2617"/>
      <c r="Q618" s="2618"/>
      <c r="R618" s="2619"/>
      <c r="S618" s="2620"/>
      <c r="T618" s="2620"/>
      <c r="U618" s="2620"/>
      <c r="V618" s="2520">
        <v>0</v>
      </c>
      <c r="W618" s="2520">
        <v>0</v>
      </c>
      <c r="X618" s="84"/>
      <c r="Z618" s="2141"/>
    </row>
    <row r="619" spans="1:28" s="83" customFormat="1" ht="13" x14ac:dyDescent="0.3">
      <c r="A619" s="85"/>
      <c r="B619" s="49" t="s">
        <v>57</v>
      </c>
      <c r="C619" s="9"/>
      <c r="D619" s="9"/>
      <c r="E619" s="9"/>
      <c r="F619" s="89" t="s">
        <v>536</v>
      </c>
      <c r="G619" s="9"/>
      <c r="H619" s="9"/>
      <c r="I619" s="535"/>
      <c r="J619" s="1125"/>
      <c r="K619" s="1122"/>
      <c r="L619" s="1122"/>
      <c r="M619" s="1122"/>
      <c r="N619" s="2549">
        <f>N621</f>
        <v>528.04995999999983</v>
      </c>
      <c r="O619" s="2621"/>
      <c r="P619" s="2621"/>
      <c r="Q619" s="2552">
        <f>Q621</f>
        <v>902.4</v>
      </c>
      <c r="R619" s="2553">
        <f>R621</f>
        <v>248.7</v>
      </c>
      <c r="S619" s="2545"/>
      <c r="T619" s="2545"/>
      <c r="U619" s="2545"/>
      <c r="V619" s="2549">
        <f>V621</f>
        <v>0</v>
      </c>
      <c r="W619" s="2549">
        <f>W621</f>
        <v>335.20150000000001</v>
      </c>
      <c r="X619" s="84"/>
      <c r="Z619" s="2141"/>
    </row>
    <row r="620" spans="1:28" s="83" customFormat="1" ht="26" x14ac:dyDescent="0.3">
      <c r="A620" s="85"/>
      <c r="B620" s="724" t="s">
        <v>948</v>
      </c>
      <c r="C620" s="9"/>
      <c r="D620" s="9"/>
      <c r="E620" s="9"/>
      <c r="F620" s="33" t="s">
        <v>536</v>
      </c>
      <c r="G620" s="9" t="s">
        <v>955</v>
      </c>
      <c r="H620" s="9"/>
      <c r="I620" s="535"/>
      <c r="J620" s="1125"/>
      <c r="K620" s="1122"/>
      <c r="L620" s="1122"/>
      <c r="M620" s="1122"/>
      <c r="N620" s="2520">
        <f>N621</f>
        <v>528.04995999999983</v>
      </c>
      <c r="O620" s="2621"/>
      <c r="P620" s="2621"/>
      <c r="Q620" s="2552"/>
      <c r="R620" s="2553"/>
      <c r="S620" s="2545"/>
      <c r="T620" s="2545"/>
      <c r="U620" s="2545"/>
      <c r="V620" s="2549">
        <f t="shared" ref="V620:W620" si="281">V621</f>
        <v>0</v>
      </c>
      <c r="W620" s="2549">
        <f t="shared" si="281"/>
        <v>335.20150000000001</v>
      </c>
      <c r="X620" s="84"/>
      <c r="Z620" s="2141"/>
      <c r="AB620" s="2388"/>
    </row>
    <row r="621" spans="1:28" ht="13" x14ac:dyDescent="0.3">
      <c r="A621" s="85"/>
      <c r="B621" s="744" t="s">
        <v>16</v>
      </c>
      <c r="C621" s="9"/>
      <c r="D621" s="9"/>
      <c r="E621" s="9"/>
      <c r="F621" s="33" t="s">
        <v>536</v>
      </c>
      <c r="G621" s="9" t="s">
        <v>1</v>
      </c>
      <c r="H621" s="9"/>
      <c r="I621" s="535"/>
      <c r="J621" s="1125"/>
      <c r="K621" s="1122"/>
      <c r="L621" s="1122"/>
      <c r="M621" s="1122"/>
      <c r="N621" s="2520">
        <f>N622</f>
        <v>528.04995999999983</v>
      </c>
      <c r="O621" s="2621"/>
      <c r="P621" s="2621"/>
      <c r="Q621" s="2543">
        <f>Q622</f>
        <v>902.4</v>
      </c>
      <c r="R621" s="2544">
        <f>R622</f>
        <v>248.7</v>
      </c>
      <c r="S621" s="2545"/>
      <c r="T621" s="2545"/>
      <c r="U621" s="2545"/>
      <c r="V621" s="2520">
        <f>V622</f>
        <v>0</v>
      </c>
      <c r="W621" s="2520">
        <f>W622</f>
        <v>335.20150000000001</v>
      </c>
      <c r="X621" s="1"/>
    </row>
    <row r="622" spans="1:28" ht="13" x14ac:dyDescent="0.3">
      <c r="A622" s="85"/>
      <c r="B622" s="2003" t="s">
        <v>51</v>
      </c>
      <c r="C622" s="9"/>
      <c r="D622" s="9"/>
      <c r="E622" s="9"/>
      <c r="F622" s="33" t="s">
        <v>536</v>
      </c>
      <c r="G622" s="9" t="s">
        <v>1</v>
      </c>
      <c r="H622" s="9" t="s">
        <v>452</v>
      </c>
      <c r="I622" s="535" t="s">
        <v>534</v>
      </c>
      <c r="J622" s="1125"/>
      <c r="K622" s="1122"/>
      <c r="L622" s="1122"/>
      <c r="M622" s="1122"/>
      <c r="N622" s="2520">
        <f>1754.399-110.158-0.04884-23.708-204.697-344.9372-342.8-200</f>
        <v>528.04995999999983</v>
      </c>
      <c r="O622" s="2621"/>
      <c r="P622" s="2621"/>
      <c r="Q622" s="2543">
        <v>902.4</v>
      </c>
      <c r="R622" s="2544">
        <v>248.7</v>
      </c>
      <c r="S622" s="2545"/>
      <c r="T622" s="2545"/>
      <c r="U622" s="2545"/>
      <c r="V622" s="2520">
        <f>700.1-700.1</f>
        <v>0</v>
      </c>
      <c r="W622" s="2520">
        <f>1142.106-100.24-706.6645</f>
        <v>335.20150000000001</v>
      </c>
      <c r="X622" s="1"/>
    </row>
    <row r="623" spans="1:28" s="83" customFormat="1" ht="13" x14ac:dyDescent="0.3">
      <c r="A623" s="85"/>
      <c r="B623" s="537" t="s">
        <v>535</v>
      </c>
      <c r="C623" s="9"/>
      <c r="D623" s="9"/>
      <c r="E623" s="9"/>
      <c r="F623" s="89" t="s">
        <v>54</v>
      </c>
      <c r="G623" s="9"/>
      <c r="H623" s="9"/>
      <c r="I623" s="535"/>
      <c r="J623" s="1125"/>
      <c r="K623" s="1122"/>
      <c r="L623" s="1122"/>
      <c r="M623" s="1122"/>
      <c r="N623" s="2549">
        <f>N625</f>
        <v>94.8</v>
      </c>
      <c r="O623" s="2621"/>
      <c r="P623" s="2621"/>
      <c r="Q623" s="2552"/>
      <c r="R623" s="2553"/>
      <c r="S623" s="2545"/>
      <c r="T623" s="2545"/>
      <c r="U623" s="2545"/>
      <c r="V623" s="2549">
        <f>V625</f>
        <v>94.8</v>
      </c>
      <c r="W623" s="2549">
        <f>W625</f>
        <v>94.8</v>
      </c>
      <c r="X623" s="84"/>
      <c r="Z623" s="2141"/>
    </row>
    <row r="624" spans="1:28" s="83" customFormat="1" ht="26" x14ac:dyDescent="0.3">
      <c r="A624" s="85"/>
      <c r="B624" s="724" t="s">
        <v>948</v>
      </c>
      <c r="C624" s="9"/>
      <c r="D624" s="9"/>
      <c r="E624" s="9"/>
      <c r="F624" s="33" t="s">
        <v>54</v>
      </c>
      <c r="G624" s="9" t="s">
        <v>955</v>
      </c>
      <c r="H624" s="9"/>
      <c r="I624" s="535"/>
      <c r="J624" s="1125"/>
      <c r="K624" s="1122"/>
      <c r="L624" s="1122"/>
      <c r="M624" s="1122"/>
      <c r="N624" s="2520">
        <f>N625</f>
        <v>94.8</v>
      </c>
      <c r="O624" s="2621"/>
      <c r="P624" s="2621"/>
      <c r="Q624" s="2552"/>
      <c r="R624" s="2553"/>
      <c r="S624" s="2545"/>
      <c r="T624" s="2545"/>
      <c r="U624" s="2545"/>
      <c r="V624" s="2549">
        <f t="shared" ref="V624:W624" si="282">V625</f>
        <v>94.8</v>
      </c>
      <c r="W624" s="2549">
        <f t="shared" si="282"/>
        <v>94.8</v>
      </c>
      <c r="X624" s="84"/>
      <c r="Z624" s="2141"/>
    </row>
    <row r="625" spans="1:26" s="83" customFormat="1" ht="13" x14ac:dyDescent="0.3">
      <c r="A625" s="85"/>
      <c r="B625" s="744" t="s">
        <v>16</v>
      </c>
      <c r="C625" s="9"/>
      <c r="D625" s="9"/>
      <c r="E625" s="9"/>
      <c r="F625" s="33" t="s">
        <v>54</v>
      </c>
      <c r="G625" s="9" t="s">
        <v>1</v>
      </c>
      <c r="H625" s="9"/>
      <c r="I625" s="535"/>
      <c r="J625" s="1125"/>
      <c r="K625" s="1122"/>
      <c r="L625" s="1122"/>
      <c r="M625" s="1122"/>
      <c r="N625" s="2520">
        <f>N626</f>
        <v>94.8</v>
      </c>
      <c r="O625" s="2621"/>
      <c r="P625" s="2621"/>
      <c r="Q625" s="2543"/>
      <c r="R625" s="2544"/>
      <c r="S625" s="2545"/>
      <c r="T625" s="2545"/>
      <c r="U625" s="2545"/>
      <c r="V625" s="2520">
        <f>V626</f>
        <v>94.8</v>
      </c>
      <c r="W625" s="2520">
        <f>W626</f>
        <v>94.8</v>
      </c>
      <c r="X625" s="84"/>
      <c r="Z625" s="2141"/>
    </row>
    <row r="626" spans="1:26" s="83" customFormat="1" ht="13" x14ac:dyDescent="0.3">
      <c r="A626" s="85"/>
      <c r="B626" s="2003" t="s">
        <v>51</v>
      </c>
      <c r="C626" s="9"/>
      <c r="D626" s="9"/>
      <c r="E626" s="9"/>
      <c r="F626" s="33" t="s">
        <v>54</v>
      </c>
      <c r="G626" s="9" t="s">
        <v>1</v>
      </c>
      <c r="H626" s="9" t="s">
        <v>452</v>
      </c>
      <c r="I626" s="535" t="s">
        <v>534</v>
      </c>
      <c r="J626" s="1125"/>
      <c r="K626" s="1122"/>
      <c r="L626" s="1122"/>
      <c r="M626" s="1122"/>
      <c r="N626" s="2520">
        <v>94.8</v>
      </c>
      <c r="O626" s="2621"/>
      <c r="P626" s="2621"/>
      <c r="Q626" s="2543"/>
      <c r="R626" s="2544"/>
      <c r="S626" s="2545"/>
      <c r="T626" s="2545"/>
      <c r="U626" s="2545"/>
      <c r="V626" s="2520">
        <v>94.8</v>
      </c>
      <c r="W626" s="2520">
        <v>94.8</v>
      </c>
      <c r="X626" s="84"/>
      <c r="Z626" s="2141"/>
    </row>
    <row r="627" spans="1:26" s="83" customFormat="1" ht="39" hidden="1" x14ac:dyDescent="0.3">
      <c r="A627" s="85"/>
      <c r="B627" s="533" t="s">
        <v>788</v>
      </c>
      <c r="C627" s="9"/>
      <c r="D627" s="9"/>
      <c r="E627" s="9"/>
      <c r="F627" s="89" t="s">
        <v>789</v>
      </c>
      <c r="G627" s="9"/>
      <c r="H627" s="9"/>
      <c r="I627" s="535"/>
      <c r="J627" s="1125"/>
      <c r="K627" s="1122"/>
      <c r="L627" s="1122"/>
      <c r="M627" s="1122"/>
      <c r="N627" s="2549">
        <f>N628</f>
        <v>0</v>
      </c>
      <c r="O627" s="2621"/>
      <c r="P627" s="2621"/>
      <c r="Q627" s="2552">
        <f>Q628</f>
        <v>0</v>
      </c>
      <c r="R627" s="2553">
        <f>R628</f>
        <v>0</v>
      </c>
      <c r="S627" s="2545"/>
      <c r="T627" s="2545"/>
      <c r="U627" s="2545"/>
      <c r="V627" s="2549">
        <f>V628</f>
        <v>0</v>
      </c>
      <c r="W627" s="2549">
        <f>W628</f>
        <v>0</v>
      </c>
      <c r="X627" s="84"/>
      <c r="Z627" s="2141"/>
    </row>
    <row r="628" spans="1:26" s="83" customFormat="1" ht="13" hidden="1" x14ac:dyDescent="0.3">
      <c r="A628" s="842"/>
      <c r="B628" s="744" t="s">
        <v>16</v>
      </c>
      <c r="C628" s="409" t="s">
        <v>430</v>
      </c>
      <c r="D628" s="409" t="s">
        <v>456</v>
      </c>
      <c r="E628" s="409" t="s">
        <v>506</v>
      </c>
      <c r="F628" s="33" t="s">
        <v>789</v>
      </c>
      <c r="G628" s="532" t="s">
        <v>1</v>
      </c>
      <c r="H628" s="531"/>
      <c r="I628" s="529"/>
      <c r="J628" s="269"/>
      <c r="K628" s="830"/>
      <c r="L628" s="2"/>
      <c r="M628" s="2"/>
      <c r="N628" s="2961">
        <f>N629</f>
        <v>0</v>
      </c>
      <c r="O628" s="2514"/>
      <c r="P628" s="2514"/>
      <c r="Q628" s="2622">
        <f>Q629</f>
        <v>0</v>
      </c>
      <c r="R628" s="2623">
        <f>R629</f>
        <v>0</v>
      </c>
      <c r="S628" s="2624"/>
      <c r="T628" s="2624"/>
      <c r="U628" s="2624"/>
      <c r="V628" s="2961">
        <f>V629</f>
        <v>0</v>
      </c>
      <c r="W628" s="2961">
        <f>W629</f>
        <v>0</v>
      </c>
      <c r="X628" s="84"/>
      <c r="Z628" s="2141"/>
    </row>
    <row r="629" spans="1:26" s="83" customFormat="1" ht="26.5" hidden="1" customHeight="1" x14ac:dyDescent="0.3">
      <c r="A629" s="843"/>
      <c r="B629" s="534" t="s">
        <v>419</v>
      </c>
      <c r="C629" s="409" t="s">
        <v>430</v>
      </c>
      <c r="D629" s="409" t="s">
        <v>456</v>
      </c>
      <c r="E629" s="409" t="s">
        <v>506</v>
      </c>
      <c r="F629" s="33" t="s">
        <v>789</v>
      </c>
      <c r="G629" s="532" t="s">
        <v>1</v>
      </c>
      <c r="H629" s="9" t="s">
        <v>456</v>
      </c>
      <c r="I629" s="9" t="s">
        <v>506</v>
      </c>
      <c r="J629" s="269"/>
      <c r="K629" s="830"/>
      <c r="L629" s="2"/>
      <c r="M629" s="2"/>
      <c r="N629" s="2961">
        <v>0</v>
      </c>
      <c r="O629" s="2514"/>
      <c r="P629" s="2514"/>
      <c r="Q629" s="2622">
        <v>0</v>
      </c>
      <c r="R629" s="2623">
        <v>0</v>
      </c>
      <c r="S629" s="2624"/>
      <c r="T629" s="2624"/>
      <c r="U629" s="2624"/>
      <c r="V629" s="2961">
        <v>0</v>
      </c>
      <c r="W629" s="2961">
        <v>0</v>
      </c>
      <c r="X629" s="84"/>
      <c r="Z629" s="2141"/>
    </row>
    <row r="630" spans="1:26" ht="39.65" customHeight="1" x14ac:dyDescent="0.3">
      <c r="A630" s="85"/>
      <c r="B630" s="2085" t="s">
        <v>53</v>
      </c>
      <c r="C630" s="9"/>
      <c r="D630" s="9" t="s">
        <v>52</v>
      </c>
      <c r="E630" s="9" t="s">
        <v>49</v>
      </c>
      <c r="F630" s="34" t="s">
        <v>50</v>
      </c>
      <c r="G630" s="9"/>
      <c r="H630" s="9"/>
      <c r="I630" s="9"/>
      <c r="J630" s="1064">
        <f>J632</f>
        <v>3163.5070000000001</v>
      </c>
      <c r="K630" s="1065"/>
      <c r="L630" s="1065">
        <f t="shared" ref="L630:R630" si="283">L632</f>
        <v>0</v>
      </c>
      <c r="M630" s="1552">
        <f t="shared" si="283"/>
        <v>0</v>
      </c>
      <c r="N630" s="2549">
        <f>N632</f>
        <v>2427.30132</v>
      </c>
      <c r="O630" s="2550">
        <f t="shared" si="283"/>
        <v>0</v>
      </c>
      <c r="P630" s="2551">
        <f t="shared" si="283"/>
        <v>0</v>
      </c>
      <c r="Q630" s="2552">
        <f t="shared" si="283"/>
        <v>504</v>
      </c>
      <c r="R630" s="2553">
        <f t="shared" si="283"/>
        <v>304</v>
      </c>
      <c r="S630" s="2545"/>
      <c r="T630" s="2545"/>
      <c r="U630" s="2545"/>
      <c r="V630" s="2549">
        <f>V632</f>
        <v>3.7352300000000014</v>
      </c>
      <c r="W630" s="2549">
        <f>W632</f>
        <v>1311.2539999999999</v>
      </c>
    </row>
    <row r="631" spans="1:26" ht="39.65" customHeight="1" x14ac:dyDescent="0.3">
      <c r="A631" s="85"/>
      <c r="B631" s="724" t="s">
        <v>948</v>
      </c>
      <c r="C631" s="9"/>
      <c r="D631" s="9"/>
      <c r="E631" s="9"/>
      <c r="F631" s="9" t="s">
        <v>50</v>
      </c>
      <c r="G631" s="9" t="s">
        <v>955</v>
      </c>
      <c r="H631" s="9"/>
      <c r="I631" s="9"/>
      <c r="J631" s="1064"/>
      <c r="K631" s="1065"/>
      <c r="L631" s="1065"/>
      <c r="M631" s="1552"/>
      <c r="N631" s="2520">
        <f>N632</f>
        <v>2427.30132</v>
      </c>
      <c r="O631" s="2550"/>
      <c r="P631" s="2551"/>
      <c r="Q631" s="2552"/>
      <c r="R631" s="2553"/>
      <c r="S631" s="2545"/>
      <c r="T631" s="2545"/>
      <c r="U631" s="2545"/>
      <c r="V631" s="2549">
        <f t="shared" ref="V631:W631" si="284">V632</f>
        <v>3.7352300000000014</v>
      </c>
      <c r="W631" s="2549">
        <f t="shared" si="284"/>
        <v>1311.2539999999999</v>
      </c>
    </row>
    <row r="632" spans="1:26" ht="13" x14ac:dyDescent="0.3">
      <c r="A632" s="85"/>
      <c r="B632" s="744" t="s">
        <v>16</v>
      </c>
      <c r="C632" s="9"/>
      <c r="D632" s="9" t="s">
        <v>52</v>
      </c>
      <c r="E632" s="9" t="s">
        <v>49</v>
      </c>
      <c r="F632" s="9" t="s">
        <v>50</v>
      </c>
      <c r="G632" s="9" t="s">
        <v>1</v>
      </c>
      <c r="H632" s="9"/>
      <c r="I632" s="9"/>
      <c r="J632" s="1061">
        <f>J633</f>
        <v>3163.5070000000001</v>
      </c>
      <c r="K632" s="1065"/>
      <c r="L632" s="1065"/>
      <c r="M632" s="1552"/>
      <c r="N632" s="2520">
        <f>N633</f>
        <v>2427.30132</v>
      </c>
      <c r="O632" s="2541">
        <f>O633</f>
        <v>0</v>
      </c>
      <c r="P632" s="2542">
        <f>P633</f>
        <v>0</v>
      </c>
      <c r="Q632" s="2543">
        <f>Q633</f>
        <v>504</v>
      </c>
      <c r="R632" s="2544">
        <f>R633</f>
        <v>304</v>
      </c>
      <c r="S632" s="2545"/>
      <c r="T632" s="2545"/>
      <c r="U632" s="2545"/>
      <c r="V632" s="2520">
        <f>V633</f>
        <v>3.7352300000000014</v>
      </c>
      <c r="W632" s="2520">
        <f>W633</f>
        <v>1311.2539999999999</v>
      </c>
    </row>
    <row r="633" spans="1:26" ht="28.5" customHeight="1" x14ac:dyDescent="0.3">
      <c r="A633" s="85"/>
      <c r="B633" s="2003" t="s">
        <v>51</v>
      </c>
      <c r="C633" s="9"/>
      <c r="D633" s="9"/>
      <c r="E633" s="9"/>
      <c r="F633" s="9" t="s">
        <v>50</v>
      </c>
      <c r="G633" s="9" t="s">
        <v>1</v>
      </c>
      <c r="H633" s="9" t="s">
        <v>452</v>
      </c>
      <c r="I633" s="9" t="s">
        <v>534</v>
      </c>
      <c r="J633" s="1126">
        <v>3163.5070000000001</v>
      </c>
      <c r="K633" s="1065"/>
      <c r="L633" s="1065"/>
      <c r="M633" s="1552"/>
      <c r="N633" s="2520">
        <f>3026-600-606+607.30132</f>
        <v>2427.30132</v>
      </c>
      <c r="O633" s="2541"/>
      <c r="P633" s="2542"/>
      <c r="Q633" s="2543">
        <v>504</v>
      </c>
      <c r="R633" s="2544">
        <v>304</v>
      </c>
      <c r="S633" s="2545"/>
      <c r="T633" s="2545"/>
      <c r="U633" s="2545"/>
      <c r="V633" s="2520">
        <f>1680-88.131-1388.13377-200</f>
        <v>3.7352300000000014</v>
      </c>
      <c r="W633" s="2520">
        <f>1641.634-330.38</f>
        <v>1311.2539999999999</v>
      </c>
    </row>
    <row r="634" spans="1:26" ht="37.5" hidden="1" customHeight="1" x14ac:dyDescent="0.3">
      <c r="A634" s="85"/>
      <c r="B634" s="52" t="s">
        <v>25</v>
      </c>
      <c r="C634" s="9"/>
      <c r="D634" s="34" t="s">
        <v>15</v>
      </c>
      <c r="E634" s="34" t="s">
        <v>13</v>
      </c>
      <c r="F634" s="34" t="s">
        <v>24</v>
      </c>
      <c r="G634" s="48"/>
      <c r="H634" s="48"/>
      <c r="I634" s="34"/>
      <c r="J634" s="131">
        <f>J635</f>
        <v>182.53199999999998</v>
      </c>
      <c r="K634" s="51"/>
      <c r="L634" s="51">
        <f t="shared" ref="L634:R634" si="285">L635</f>
        <v>85</v>
      </c>
      <c r="M634" s="1553">
        <f t="shared" si="285"/>
        <v>85</v>
      </c>
      <c r="N634" s="2549">
        <f t="shared" si="285"/>
        <v>0</v>
      </c>
      <c r="O634" s="2516">
        <f t="shared" si="285"/>
        <v>0</v>
      </c>
      <c r="P634" s="2517">
        <f t="shared" si="285"/>
        <v>0</v>
      </c>
      <c r="Q634" s="2518">
        <f t="shared" si="285"/>
        <v>0</v>
      </c>
      <c r="R634" s="2519">
        <f t="shared" si="285"/>
        <v>0</v>
      </c>
      <c r="S634" s="2545"/>
      <c r="T634" s="2545"/>
      <c r="U634" s="2545"/>
      <c r="V634" s="2549">
        <f t="shared" ref="V634:W634" si="286">V635</f>
        <v>0</v>
      </c>
      <c r="W634" s="2549">
        <f t="shared" si="286"/>
        <v>0</v>
      </c>
    </row>
    <row r="635" spans="1:26" ht="27" hidden="1" customHeight="1" x14ac:dyDescent="0.3">
      <c r="A635" s="85"/>
      <c r="B635" s="49" t="s">
        <v>237</v>
      </c>
      <c r="C635" s="9"/>
      <c r="D635" s="9" t="s">
        <v>15</v>
      </c>
      <c r="E635" s="9" t="s">
        <v>13</v>
      </c>
      <c r="F635" s="34" t="s">
        <v>1006</v>
      </c>
      <c r="G635" s="48"/>
      <c r="H635" s="48"/>
      <c r="I635" s="9"/>
      <c r="J635" s="131">
        <f>J639</f>
        <v>182.53199999999998</v>
      </c>
      <c r="K635" s="51"/>
      <c r="L635" s="51">
        <f t="shared" ref="L635:R635" si="287">L639</f>
        <v>85</v>
      </c>
      <c r="M635" s="1553">
        <f t="shared" si="287"/>
        <v>85</v>
      </c>
      <c r="N635" s="2549">
        <f>N639</f>
        <v>0</v>
      </c>
      <c r="O635" s="2516">
        <f t="shared" si="287"/>
        <v>0</v>
      </c>
      <c r="P635" s="2517">
        <f t="shared" si="287"/>
        <v>0</v>
      </c>
      <c r="Q635" s="2518">
        <f t="shared" si="287"/>
        <v>0</v>
      </c>
      <c r="R635" s="2519">
        <f t="shared" si="287"/>
        <v>0</v>
      </c>
      <c r="S635" s="2545"/>
      <c r="T635" s="2545"/>
      <c r="U635" s="2545"/>
      <c r="V635" s="2549">
        <f>V639</f>
        <v>0</v>
      </c>
      <c r="W635" s="2549">
        <f>W639</f>
        <v>0</v>
      </c>
    </row>
    <row r="636" spans="1:26" ht="28.5" hidden="1" customHeight="1" x14ac:dyDescent="0.3">
      <c r="A636" s="85"/>
      <c r="B636" s="42"/>
      <c r="C636" s="31"/>
      <c r="D636" s="31"/>
      <c r="E636" s="31"/>
      <c r="F636" s="31"/>
      <c r="G636" s="3485"/>
      <c r="H636" s="3486"/>
      <c r="I636" s="3486"/>
      <c r="J636" s="3487"/>
      <c r="K636" s="45"/>
      <c r="L636" s="44"/>
      <c r="M636" s="44"/>
      <c r="N636" s="2963"/>
      <c r="O636" s="2545"/>
      <c r="P636" s="2545"/>
      <c r="Q636" s="2625"/>
      <c r="R636" s="2626"/>
      <c r="S636" s="2545"/>
      <c r="T636" s="2545"/>
      <c r="U636" s="2545"/>
      <c r="V636" s="2963"/>
      <c r="W636" s="2963"/>
    </row>
    <row r="637" spans="1:26" ht="28.5" hidden="1" customHeight="1" x14ac:dyDescent="0.25">
      <c r="A637" s="32"/>
      <c r="B637" s="42"/>
      <c r="C637" s="31"/>
      <c r="D637" s="31"/>
      <c r="E637" s="31"/>
      <c r="F637" s="31"/>
      <c r="G637" s="3485"/>
      <c r="H637" s="3486"/>
      <c r="I637" s="3486"/>
      <c r="J637" s="3487"/>
      <c r="K637" s="41"/>
      <c r="L637" s="2"/>
      <c r="M637" s="2"/>
      <c r="N637" s="2964"/>
      <c r="O637" s="2514"/>
      <c r="P637" s="2514"/>
      <c r="Q637" s="2627"/>
      <c r="R637" s="2628"/>
      <c r="S637" s="2514"/>
      <c r="T637" s="2514"/>
      <c r="U637" s="2514"/>
      <c r="V637" s="2964"/>
      <c r="W637" s="2964"/>
    </row>
    <row r="638" spans="1:26" ht="13" hidden="1" x14ac:dyDescent="0.25">
      <c r="A638" s="32"/>
      <c r="B638" s="2149"/>
      <c r="C638" s="31"/>
      <c r="D638" s="31"/>
      <c r="E638" s="31"/>
      <c r="F638" s="9" t="s">
        <v>1006</v>
      </c>
      <c r="G638" s="2148" t="s">
        <v>1064</v>
      </c>
      <c r="H638" s="2417"/>
      <c r="I638" s="2417"/>
      <c r="J638" s="2418"/>
      <c r="K638" s="41"/>
      <c r="L638" s="2"/>
      <c r="M638" s="2"/>
      <c r="N638" s="2964"/>
      <c r="O638" s="2514"/>
      <c r="P638" s="2514"/>
      <c r="Q638" s="2627"/>
      <c r="R638" s="2628"/>
      <c r="S638" s="2514"/>
      <c r="T638" s="2514"/>
      <c r="U638" s="2514"/>
      <c r="V638" s="2964"/>
      <c r="W638" s="2964"/>
    </row>
    <row r="639" spans="1:26" ht="13" hidden="1" x14ac:dyDescent="0.3">
      <c r="A639" s="32"/>
      <c r="B639" s="2003" t="s">
        <v>94</v>
      </c>
      <c r="C639" s="31"/>
      <c r="D639" s="9" t="s">
        <v>15</v>
      </c>
      <c r="E639" s="9" t="s">
        <v>13</v>
      </c>
      <c r="F639" s="9" t="s">
        <v>1006</v>
      </c>
      <c r="G639" s="33" t="s">
        <v>91</v>
      </c>
      <c r="H639" s="33"/>
      <c r="I639" s="9"/>
      <c r="J639" s="515">
        <f>J640</f>
        <v>182.53199999999998</v>
      </c>
      <c r="K639" s="30"/>
      <c r="L639" s="29">
        <v>85</v>
      </c>
      <c r="M639" s="1569">
        <v>85</v>
      </c>
      <c r="N639" s="2597">
        <f>N640</f>
        <v>0</v>
      </c>
      <c r="O639" s="2629">
        <f>O640</f>
        <v>0</v>
      </c>
      <c r="P639" s="2629">
        <f>P640</f>
        <v>0</v>
      </c>
      <c r="Q639" s="2630">
        <f>Q640</f>
        <v>0</v>
      </c>
      <c r="R639" s="2631">
        <f>R640</f>
        <v>0</v>
      </c>
      <c r="S639" s="2514"/>
      <c r="T639" s="2514"/>
      <c r="U639" s="2514"/>
      <c r="V639" s="2597">
        <f>V640</f>
        <v>0</v>
      </c>
      <c r="W639" s="2597">
        <f>W640</f>
        <v>0</v>
      </c>
    </row>
    <row r="640" spans="1:26" ht="26" hidden="1" x14ac:dyDescent="0.3">
      <c r="A640" s="32"/>
      <c r="B640" s="2012" t="s">
        <v>570</v>
      </c>
      <c r="C640" s="31"/>
      <c r="D640" s="9"/>
      <c r="E640" s="9"/>
      <c r="F640" s="9" t="s">
        <v>48</v>
      </c>
      <c r="G640" s="33" t="s">
        <v>91</v>
      </c>
      <c r="H640" s="33" t="s">
        <v>495</v>
      </c>
      <c r="I640" s="9" t="s">
        <v>539</v>
      </c>
      <c r="J640" s="515">
        <f>85+97.532</f>
        <v>182.53199999999998</v>
      </c>
      <c r="K640" s="30"/>
      <c r="L640" s="29">
        <v>85</v>
      </c>
      <c r="M640" s="1569">
        <v>85</v>
      </c>
      <c r="N640" s="2971"/>
      <c r="O640" s="2629"/>
      <c r="P640" s="2629"/>
      <c r="Q640" s="2630"/>
      <c r="R640" s="2631"/>
      <c r="S640" s="2514"/>
      <c r="T640" s="2514"/>
      <c r="U640" s="2514"/>
      <c r="V640" s="2597"/>
      <c r="W640" s="2597"/>
    </row>
    <row r="641" spans="1:23" ht="39" hidden="1" x14ac:dyDescent="0.25">
      <c r="A641" s="32"/>
      <c r="B641" s="533" t="s">
        <v>788</v>
      </c>
      <c r="C641" s="9"/>
      <c r="D641" s="9"/>
      <c r="E641" s="9"/>
      <c r="F641" s="89" t="s">
        <v>1104</v>
      </c>
      <c r="G641" s="9"/>
      <c r="H641" s="9"/>
      <c r="I641" s="535"/>
      <c r="J641" s="1125"/>
      <c r="K641" s="1122"/>
      <c r="L641" s="1122"/>
      <c r="M641" s="1122"/>
      <c r="N641" s="2632">
        <f>N643</f>
        <v>0</v>
      </c>
      <c r="O641" s="2633"/>
      <c r="P641" s="2633"/>
      <c r="Q641" s="2634"/>
      <c r="R641" s="2635"/>
      <c r="S641" s="2525"/>
      <c r="T641" s="2525"/>
      <c r="U641" s="2525"/>
      <c r="V641" s="2636">
        <f>V643</f>
        <v>0</v>
      </c>
      <c r="W641" s="2636">
        <f>W643</f>
        <v>0</v>
      </c>
    </row>
    <row r="642" spans="1:23" ht="16" hidden="1" customHeight="1" x14ac:dyDescent="0.25">
      <c r="A642" s="32"/>
      <c r="B642" s="724" t="s">
        <v>1065</v>
      </c>
      <c r="C642" s="9"/>
      <c r="D642" s="9"/>
      <c r="E642" s="9"/>
      <c r="F642" s="33" t="s">
        <v>1104</v>
      </c>
      <c r="G642" s="9" t="s">
        <v>1064</v>
      </c>
      <c r="H642" s="9"/>
      <c r="I642" s="535"/>
      <c r="J642" s="1125"/>
      <c r="K642" s="1122"/>
      <c r="L642" s="1122"/>
      <c r="M642" s="1122"/>
      <c r="N642" s="2619">
        <f>N643</f>
        <v>0</v>
      </c>
      <c r="O642" s="2633"/>
      <c r="P642" s="2633"/>
      <c r="Q642" s="2634"/>
      <c r="R642" s="2635"/>
      <c r="S642" s="2525"/>
      <c r="T642" s="2525"/>
      <c r="U642" s="2525"/>
      <c r="V642" s="2637">
        <f>V643</f>
        <v>0</v>
      </c>
      <c r="W642" s="2637">
        <f>W643</f>
        <v>0</v>
      </c>
    </row>
    <row r="643" spans="1:23" ht="13" hidden="1" x14ac:dyDescent="0.3">
      <c r="A643" s="32"/>
      <c r="B643" s="16" t="s">
        <v>1112</v>
      </c>
      <c r="C643" s="409" t="s">
        <v>430</v>
      </c>
      <c r="D643" s="409" t="s">
        <v>456</v>
      </c>
      <c r="E643" s="409" t="s">
        <v>506</v>
      </c>
      <c r="F643" s="33" t="s">
        <v>1104</v>
      </c>
      <c r="G643" s="532" t="s">
        <v>1113</v>
      </c>
      <c r="H643" s="531"/>
      <c r="I643" s="529"/>
      <c r="J643" s="269"/>
      <c r="K643" s="830"/>
      <c r="L643" s="2"/>
      <c r="M643" s="2"/>
      <c r="N643" s="2638">
        <f>N644</f>
        <v>0</v>
      </c>
      <c r="O643" s="2633"/>
      <c r="P643" s="2633"/>
      <c r="Q643" s="2634"/>
      <c r="R643" s="2635"/>
      <c r="S643" s="2525"/>
      <c r="T643" s="2525"/>
      <c r="U643" s="2525"/>
      <c r="V643" s="2639">
        <f>V644</f>
        <v>0</v>
      </c>
      <c r="W643" s="2639">
        <f>W644</f>
        <v>0</v>
      </c>
    </row>
    <row r="644" spans="1:23" ht="13" hidden="1" x14ac:dyDescent="0.3">
      <c r="A644" s="32"/>
      <c r="B644" s="534" t="s">
        <v>419</v>
      </c>
      <c r="C644" s="409" t="s">
        <v>430</v>
      </c>
      <c r="D644" s="409" t="s">
        <v>456</v>
      </c>
      <c r="E644" s="409" t="s">
        <v>506</v>
      </c>
      <c r="F644" s="33" t="s">
        <v>1104</v>
      </c>
      <c r="G644" s="532" t="s">
        <v>1113</v>
      </c>
      <c r="H644" s="9" t="s">
        <v>456</v>
      </c>
      <c r="I644" s="9" t="s">
        <v>506</v>
      </c>
      <c r="J644" s="269"/>
      <c r="K644" s="830"/>
      <c r="L644" s="2"/>
      <c r="M644" s="2"/>
      <c r="N644" s="2638">
        <v>0</v>
      </c>
      <c r="O644" s="2633"/>
      <c r="P644" s="2633"/>
      <c r="Q644" s="2634"/>
      <c r="R644" s="2635"/>
      <c r="S644" s="2525"/>
      <c r="T644" s="2525"/>
      <c r="U644" s="2525"/>
      <c r="V644" s="2639">
        <v>0</v>
      </c>
      <c r="W644" s="2639">
        <v>0</v>
      </c>
    </row>
    <row r="645" spans="1:23" ht="39" hidden="1" x14ac:dyDescent="0.3">
      <c r="A645" s="32"/>
      <c r="B645" s="533" t="s">
        <v>186</v>
      </c>
      <c r="C645" s="1880"/>
      <c r="D645" s="409"/>
      <c r="E645" s="409"/>
      <c r="F645" s="79" t="s">
        <v>36</v>
      </c>
      <c r="G645" s="532"/>
      <c r="H645" s="9"/>
      <c r="I645" s="9"/>
      <c r="J645" s="2333"/>
      <c r="K645" s="830"/>
      <c r="L645" s="2"/>
      <c r="M645" s="2"/>
      <c r="N645" s="2640">
        <f>N646</f>
        <v>0</v>
      </c>
      <c r="O645" s="2633"/>
      <c r="P645" s="2633"/>
      <c r="Q645" s="2634"/>
      <c r="R645" s="2635"/>
      <c r="S645" s="2525"/>
      <c r="T645" s="2525"/>
      <c r="U645" s="2525"/>
      <c r="V645" s="2641">
        <f t="shared" ref="V645:W647" si="288">V646</f>
        <v>0</v>
      </c>
      <c r="W645" s="2641">
        <f t="shared" si="288"/>
        <v>0</v>
      </c>
    </row>
    <row r="646" spans="1:23" ht="26" hidden="1" x14ac:dyDescent="0.3">
      <c r="A646" s="32"/>
      <c r="B646" s="724" t="s">
        <v>948</v>
      </c>
      <c r="C646" s="1880"/>
      <c r="D646" s="409"/>
      <c r="E646" s="409"/>
      <c r="F646" s="77" t="s">
        <v>36</v>
      </c>
      <c r="G646" s="33" t="s">
        <v>955</v>
      </c>
      <c r="H646" s="33"/>
      <c r="I646" s="9"/>
      <c r="J646" s="2333"/>
      <c r="K646" s="830"/>
      <c r="L646" s="2"/>
      <c r="M646" s="2"/>
      <c r="N646" s="2640">
        <f>N647</f>
        <v>0</v>
      </c>
      <c r="O646" s="2633"/>
      <c r="P646" s="2633"/>
      <c r="Q646" s="2634"/>
      <c r="R646" s="2635"/>
      <c r="S646" s="2525"/>
      <c r="T646" s="2525"/>
      <c r="U646" s="2525"/>
      <c r="V646" s="2641">
        <f t="shared" si="288"/>
        <v>0</v>
      </c>
      <c r="W646" s="2641">
        <f t="shared" si="288"/>
        <v>0</v>
      </c>
    </row>
    <row r="647" spans="1:23" ht="13" hidden="1" x14ac:dyDescent="0.3">
      <c r="A647" s="32"/>
      <c r="B647" s="16" t="s">
        <v>16</v>
      </c>
      <c r="C647" s="1880"/>
      <c r="D647" s="409"/>
      <c r="E647" s="409"/>
      <c r="F647" s="77" t="s">
        <v>36</v>
      </c>
      <c r="G647" s="33" t="s">
        <v>1</v>
      </c>
      <c r="H647" s="33"/>
      <c r="I647" s="9"/>
      <c r="J647" s="2333"/>
      <c r="K647" s="830"/>
      <c r="L647" s="2"/>
      <c r="M647" s="2"/>
      <c r="N647" s="2640">
        <f>N648</f>
        <v>0</v>
      </c>
      <c r="O647" s="2633"/>
      <c r="P647" s="2633"/>
      <c r="Q647" s="2634"/>
      <c r="R647" s="2635"/>
      <c r="S647" s="2525"/>
      <c r="T647" s="2525"/>
      <c r="U647" s="2525"/>
      <c r="V647" s="2641">
        <f t="shared" si="288"/>
        <v>0</v>
      </c>
      <c r="W647" s="2641">
        <f t="shared" si="288"/>
        <v>0</v>
      </c>
    </row>
    <row r="648" spans="1:23" ht="13" hidden="1" x14ac:dyDescent="0.3">
      <c r="A648" s="32"/>
      <c r="B648" s="90" t="s">
        <v>34</v>
      </c>
      <c r="C648" s="1880"/>
      <c r="D648" s="409"/>
      <c r="E648" s="409"/>
      <c r="F648" s="77" t="s">
        <v>36</v>
      </c>
      <c r="G648" s="33" t="s">
        <v>1</v>
      </c>
      <c r="H648" s="33" t="s">
        <v>463</v>
      </c>
      <c r="I648" s="9" t="s">
        <v>495</v>
      </c>
      <c r="J648" s="2333"/>
      <c r="K648" s="830"/>
      <c r="L648" s="2"/>
      <c r="M648" s="2"/>
      <c r="N648" s="2640">
        <v>0</v>
      </c>
      <c r="O648" s="2633"/>
      <c r="P648" s="2633"/>
      <c r="Q648" s="2634"/>
      <c r="R648" s="2635"/>
      <c r="S648" s="2525"/>
      <c r="T648" s="2525"/>
      <c r="U648" s="2525"/>
      <c r="V648" s="2641">
        <v>0</v>
      </c>
      <c r="W648" s="2641">
        <v>0</v>
      </c>
    </row>
    <row r="649" spans="1:23" ht="24" customHeight="1" x14ac:dyDescent="0.3">
      <c r="A649" s="32"/>
      <c r="B649" s="90" t="s">
        <v>184</v>
      </c>
      <c r="C649" s="2418"/>
      <c r="D649" s="9"/>
      <c r="E649" s="9"/>
      <c r="F649" s="79" t="s">
        <v>33</v>
      </c>
      <c r="G649" s="33"/>
      <c r="H649" s="33"/>
      <c r="I649" s="9"/>
      <c r="J649" s="515"/>
      <c r="K649" s="30"/>
      <c r="L649" s="29"/>
      <c r="M649" s="1569"/>
      <c r="N649" s="2972">
        <f>N654+N652</f>
        <v>5480</v>
      </c>
      <c r="O649" s="2629"/>
      <c r="P649" s="2629"/>
      <c r="Q649" s="2630"/>
      <c r="R649" s="2631"/>
      <c r="S649" s="2514"/>
      <c r="T649" s="2514"/>
      <c r="U649" s="2514"/>
      <c r="V649" s="2597">
        <f>V654+V652</f>
        <v>68.824109999999678</v>
      </c>
      <c r="W649" s="2597">
        <f>W654+W652</f>
        <v>9348.1670000000013</v>
      </c>
    </row>
    <row r="650" spans="1:23" ht="24" customHeight="1" x14ac:dyDescent="0.3">
      <c r="A650" s="32"/>
      <c r="B650" s="724" t="s">
        <v>948</v>
      </c>
      <c r="C650" s="2418"/>
      <c r="D650" s="9"/>
      <c r="E650" s="9"/>
      <c r="F650" s="77" t="s">
        <v>33</v>
      </c>
      <c r="G650" s="33" t="s">
        <v>955</v>
      </c>
      <c r="H650" s="33"/>
      <c r="I650" s="9"/>
      <c r="J650" s="515"/>
      <c r="K650" s="30"/>
      <c r="L650" s="29"/>
      <c r="M650" s="1569"/>
      <c r="N650" s="2972">
        <f>N651</f>
        <v>0</v>
      </c>
      <c r="O650" s="2645"/>
      <c r="P650" s="2645"/>
      <c r="Q650" s="2646"/>
      <c r="R650" s="2647"/>
      <c r="S650" s="2648"/>
      <c r="T650" s="2648"/>
      <c r="U650" s="2648"/>
      <c r="V650" s="2597">
        <f>V651</f>
        <v>0</v>
      </c>
      <c r="W650" s="2597">
        <f>W651</f>
        <v>3190.8389999999999</v>
      </c>
    </row>
    <row r="651" spans="1:23" ht="13" x14ac:dyDescent="0.3">
      <c r="A651" s="32"/>
      <c r="B651" s="16" t="s">
        <v>16</v>
      </c>
      <c r="C651" s="2418"/>
      <c r="D651" s="9"/>
      <c r="E651" s="9"/>
      <c r="F651" s="77" t="s">
        <v>33</v>
      </c>
      <c r="G651" s="33" t="s">
        <v>1</v>
      </c>
      <c r="H651" s="33"/>
      <c r="I651" s="9"/>
      <c r="J651" s="515"/>
      <c r="K651" s="30"/>
      <c r="L651" s="29"/>
      <c r="M651" s="1569"/>
      <c r="N651" s="2972">
        <f>N652</f>
        <v>0</v>
      </c>
      <c r="O651" s="2645"/>
      <c r="P651" s="2645"/>
      <c r="Q651" s="2646"/>
      <c r="R651" s="2647"/>
      <c r="S651" s="2648"/>
      <c r="T651" s="2648"/>
      <c r="U651" s="2648"/>
      <c r="V651" s="2597">
        <f>V652</f>
        <v>0</v>
      </c>
      <c r="W651" s="2597">
        <f>W652</f>
        <v>3190.8389999999999</v>
      </c>
    </row>
    <row r="652" spans="1:23" ht="13" x14ac:dyDescent="0.3">
      <c r="A652" s="32"/>
      <c r="B652" s="90" t="s">
        <v>34</v>
      </c>
      <c r="C652" s="2418"/>
      <c r="D652" s="9"/>
      <c r="E652" s="9"/>
      <c r="F652" s="77" t="s">
        <v>33</v>
      </c>
      <c r="G652" s="33" t="s">
        <v>1</v>
      </c>
      <c r="H652" s="33" t="s">
        <v>463</v>
      </c>
      <c r="I652" s="9" t="s">
        <v>495</v>
      </c>
      <c r="J652" s="515"/>
      <c r="K652" s="30"/>
      <c r="L652" s="29"/>
      <c r="M652" s="1569"/>
      <c r="N652" s="2972">
        <v>0</v>
      </c>
      <c r="O652" s="2645"/>
      <c r="P652" s="2645"/>
      <c r="Q652" s="2646"/>
      <c r="R652" s="2647"/>
      <c r="S652" s="2648"/>
      <c r="T652" s="2648"/>
      <c r="U652" s="2648"/>
      <c r="V652" s="2597">
        <v>0</v>
      </c>
      <c r="W652" s="2597">
        <v>3190.8389999999999</v>
      </c>
    </row>
    <row r="653" spans="1:23" ht="32.5" customHeight="1" x14ac:dyDescent="0.3">
      <c r="A653" s="32"/>
      <c r="B653" s="2152" t="s">
        <v>1068</v>
      </c>
      <c r="C653" s="2418"/>
      <c r="D653" s="9" t="s">
        <v>1065</v>
      </c>
      <c r="E653" s="9"/>
      <c r="F653" s="77" t="s">
        <v>33</v>
      </c>
      <c r="G653" s="33" t="s">
        <v>1064</v>
      </c>
      <c r="H653" s="33"/>
      <c r="I653" s="9"/>
      <c r="J653" s="515"/>
      <c r="K653" s="30"/>
      <c r="L653" s="29"/>
      <c r="M653" s="1569"/>
      <c r="N653" s="2597">
        <f>N654</f>
        <v>5480</v>
      </c>
      <c r="O653" s="2629"/>
      <c r="P653" s="2629"/>
      <c r="Q653" s="2630"/>
      <c r="R653" s="2631"/>
      <c r="S653" s="2514"/>
      <c r="T653" s="2514"/>
      <c r="U653" s="2514"/>
      <c r="V653" s="2597">
        <f t="shared" ref="V653:W653" si="289">V654</f>
        <v>68.824109999999678</v>
      </c>
      <c r="W653" s="2597">
        <f t="shared" si="289"/>
        <v>6157.3280000000004</v>
      </c>
    </row>
    <row r="654" spans="1:23" ht="39" x14ac:dyDescent="0.3">
      <c r="A654" s="32"/>
      <c r="B654" s="2095" t="s">
        <v>1034</v>
      </c>
      <c r="C654" s="2418"/>
      <c r="D654" s="9"/>
      <c r="E654" s="9"/>
      <c r="F654" s="77" t="s">
        <v>33</v>
      </c>
      <c r="G654" s="33" t="s">
        <v>521</v>
      </c>
      <c r="H654" s="33"/>
      <c r="I654" s="9"/>
      <c r="J654" s="515"/>
      <c r="K654" s="30"/>
      <c r="L654" s="29"/>
      <c r="M654" s="1569"/>
      <c r="N654" s="2597">
        <f>N655</f>
        <v>5480</v>
      </c>
      <c r="O654" s="2629"/>
      <c r="P654" s="2629"/>
      <c r="Q654" s="2630"/>
      <c r="R654" s="2631"/>
      <c r="S654" s="2514"/>
      <c r="T654" s="2514"/>
      <c r="U654" s="2514"/>
      <c r="V654" s="2597">
        <f>V655</f>
        <v>68.824109999999678</v>
      </c>
      <c r="W654" s="2597">
        <f>W655</f>
        <v>6157.3280000000004</v>
      </c>
    </row>
    <row r="655" spans="1:23" ht="13" x14ac:dyDescent="0.3">
      <c r="A655" s="32"/>
      <c r="B655" s="90" t="s">
        <v>34</v>
      </c>
      <c r="C655" s="2418"/>
      <c r="D655" s="9"/>
      <c r="E655" s="9"/>
      <c r="F655" s="77" t="s">
        <v>33</v>
      </c>
      <c r="G655" s="33" t="s">
        <v>521</v>
      </c>
      <c r="H655" s="33" t="s">
        <v>463</v>
      </c>
      <c r="I655" s="9" t="s">
        <v>495</v>
      </c>
      <c r="J655" s="515"/>
      <c r="K655" s="30"/>
      <c r="L655" s="29"/>
      <c r="M655" s="1569"/>
      <c r="N655" s="2597">
        <f>5480-2056.2414+2056.2414</f>
        <v>5480</v>
      </c>
      <c r="O655" s="2629"/>
      <c r="P655" s="2629"/>
      <c r="Q655" s="2630"/>
      <c r="R655" s="2631"/>
      <c r="S655" s="2514"/>
      <c r="T655" s="2514"/>
      <c r="U655" s="2514"/>
      <c r="V655" s="2597">
        <f>5808.8-1328.89-636.202-2800-974.88389</f>
        <v>68.824109999999678</v>
      </c>
      <c r="W655" s="2597">
        <v>6157.3280000000004</v>
      </c>
    </row>
    <row r="656" spans="1:23" ht="39" x14ac:dyDescent="0.3">
      <c r="A656" s="32"/>
      <c r="B656" s="534" t="s">
        <v>918</v>
      </c>
      <c r="C656" s="2418"/>
      <c r="D656" s="9"/>
      <c r="E656" s="9"/>
      <c r="F656" s="79" t="s">
        <v>919</v>
      </c>
      <c r="G656" s="33"/>
      <c r="H656" s="33"/>
      <c r="I656" s="9"/>
      <c r="J656" s="515">
        <f>J660</f>
        <v>153.32</v>
      </c>
      <c r="K656" s="30"/>
      <c r="L656" s="29"/>
      <c r="M656" s="1569"/>
      <c r="N656" s="2603">
        <f>N658</f>
        <v>900</v>
      </c>
      <c r="O656" s="2642">
        <f>O660+O658</f>
        <v>585.81999999999994</v>
      </c>
      <c r="P656" s="2642">
        <f>P660+P658</f>
        <v>610.88699999999994</v>
      </c>
      <c r="Q656" s="2643">
        <f>Q660+Q658</f>
        <v>1200</v>
      </c>
      <c r="R656" s="2644">
        <f>R660+R658</f>
        <v>1200</v>
      </c>
      <c r="S656" s="2514"/>
      <c r="T656" s="2514"/>
      <c r="U656" s="2514"/>
      <c r="V656" s="2603">
        <f>V658</f>
        <v>963</v>
      </c>
      <c r="W656" s="2603">
        <f>W658</f>
        <v>1030.4100000000001</v>
      </c>
    </row>
    <row r="657" spans="1:256" ht="26" x14ac:dyDescent="0.3">
      <c r="A657" s="32"/>
      <c r="B657" s="724" t="s">
        <v>948</v>
      </c>
      <c r="C657" s="2418"/>
      <c r="D657" s="9"/>
      <c r="E657" s="9"/>
      <c r="F657" s="77" t="s">
        <v>919</v>
      </c>
      <c r="G657" s="33" t="s">
        <v>955</v>
      </c>
      <c r="H657" s="33"/>
      <c r="I657" s="9"/>
      <c r="J657" s="515"/>
      <c r="K657" s="30"/>
      <c r="L657" s="29"/>
      <c r="M657" s="1569"/>
      <c r="N657" s="2597">
        <f>N658</f>
        <v>900</v>
      </c>
      <c r="O657" s="2642"/>
      <c r="P657" s="2642"/>
      <c r="Q657" s="2643"/>
      <c r="R657" s="2644"/>
      <c r="S657" s="2514"/>
      <c r="T657" s="2514"/>
      <c r="U657" s="2514"/>
      <c r="V657" s="2597">
        <f t="shared" ref="V657:W657" si="290">V658</f>
        <v>963</v>
      </c>
      <c r="W657" s="2597">
        <f t="shared" si="290"/>
        <v>1030.4100000000001</v>
      </c>
    </row>
    <row r="658" spans="1:256" ht="13" x14ac:dyDescent="0.3">
      <c r="A658" s="32"/>
      <c r="B658" s="724" t="s">
        <v>16</v>
      </c>
      <c r="C658" s="2418"/>
      <c r="D658" s="9"/>
      <c r="E658" s="9"/>
      <c r="F658" s="77" t="s">
        <v>919</v>
      </c>
      <c r="G658" s="33" t="s">
        <v>1</v>
      </c>
      <c r="H658" s="33"/>
      <c r="I658" s="9"/>
      <c r="J658" s="515"/>
      <c r="K658" s="30"/>
      <c r="L658" s="29"/>
      <c r="M658" s="1569"/>
      <c r="N658" s="2597">
        <f>N659</f>
        <v>900</v>
      </c>
      <c r="O658" s="2629">
        <f>O659</f>
        <v>31.3</v>
      </c>
      <c r="P658" s="2629">
        <f>P659</f>
        <v>34.43</v>
      </c>
      <c r="Q658" s="2630">
        <f>Q659</f>
        <v>1200</v>
      </c>
      <c r="R658" s="2631">
        <f>R659</f>
        <v>1200</v>
      </c>
      <c r="S658" s="2514"/>
      <c r="T658" s="2514"/>
      <c r="U658" s="2514"/>
      <c r="V658" s="2597">
        <f>V659</f>
        <v>963</v>
      </c>
      <c r="W658" s="2597">
        <f>W659</f>
        <v>1030.4100000000001</v>
      </c>
    </row>
    <row r="659" spans="1:256" ht="13" x14ac:dyDescent="0.3">
      <c r="A659" s="32"/>
      <c r="B659" s="724" t="s">
        <v>920</v>
      </c>
      <c r="C659" s="2418"/>
      <c r="D659" s="9"/>
      <c r="E659" s="9"/>
      <c r="F659" s="77" t="s">
        <v>919</v>
      </c>
      <c r="G659" s="33" t="s">
        <v>1</v>
      </c>
      <c r="H659" s="33" t="s">
        <v>534</v>
      </c>
      <c r="I659" s="9" t="s">
        <v>488</v>
      </c>
      <c r="J659" s="515"/>
      <c r="K659" s="30"/>
      <c r="L659" s="29"/>
      <c r="M659" s="1569"/>
      <c r="N659" s="2597">
        <v>900</v>
      </c>
      <c r="O659" s="2629">
        <v>31.3</v>
      </c>
      <c r="P659" s="2629">
        <v>34.43</v>
      </c>
      <c r="Q659" s="2630">
        <v>1200</v>
      </c>
      <c r="R659" s="2631">
        <v>1200</v>
      </c>
      <c r="S659" s="2514"/>
      <c r="T659" s="2514"/>
      <c r="U659" s="2514"/>
      <c r="V659" s="2597">
        <v>963</v>
      </c>
      <c r="W659" s="2597">
        <v>1030.4100000000001</v>
      </c>
      <c r="X659" s="72"/>
      <c r="AC659" s="1124"/>
    </row>
    <row r="660" spans="1:256" ht="13" hidden="1" x14ac:dyDescent="0.25">
      <c r="A660" s="32"/>
      <c r="B660" s="724" t="s">
        <v>109</v>
      </c>
      <c r="C660" s="70"/>
      <c r="D660" s="9" t="s">
        <v>44</v>
      </c>
      <c r="E660" s="9" t="s">
        <v>41</v>
      </c>
      <c r="F660" s="77" t="s">
        <v>919</v>
      </c>
      <c r="G660" s="33" t="s">
        <v>1</v>
      </c>
      <c r="H660" s="33"/>
      <c r="I660" s="9"/>
      <c r="J660" s="1126">
        <f t="shared" ref="J660:R660" si="291">J661</f>
        <v>153.32</v>
      </c>
      <c r="K660" s="1063">
        <f t="shared" si="291"/>
        <v>172</v>
      </c>
      <c r="L660" s="1063">
        <f t="shared" si="291"/>
        <v>172</v>
      </c>
      <c r="M660" s="1125">
        <f t="shared" si="291"/>
        <v>172</v>
      </c>
      <c r="N660" s="2520">
        <f t="shared" si="291"/>
        <v>0</v>
      </c>
      <c r="O660" s="2541">
        <f t="shared" si="291"/>
        <v>554.52</v>
      </c>
      <c r="P660" s="2542">
        <f t="shared" si="291"/>
        <v>576.45699999999999</v>
      </c>
      <c r="Q660" s="2543">
        <f t="shared" si="291"/>
        <v>0</v>
      </c>
      <c r="R660" s="2544">
        <f t="shared" si="291"/>
        <v>0</v>
      </c>
      <c r="S660" s="2514"/>
      <c r="T660" s="2514"/>
      <c r="U660" s="2514"/>
      <c r="V660" s="2520">
        <f t="shared" ref="V660:W660" si="292">V661</f>
        <v>0</v>
      </c>
      <c r="W660" s="2520">
        <f t="shared" si="292"/>
        <v>0</v>
      </c>
      <c r="X660" s="72"/>
      <c r="AC660" s="2246">
        <v>672.10500000000002</v>
      </c>
    </row>
    <row r="661" spans="1:256" ht="39" hidden="1" x14ac:dyDescent="0.25">
      <c r="A661" s="32"/>
      <c r="B661" s="90" t="s">
        <v>918</v>
      </c>
      <c r="C661" s="70"/>
      <c r="D661" s="9" t="s">
        <v>44</v>
      </c>
      <c r="E661" s="9" t="s">
        <v>41</v>
      </c>
      <c r="F661" s="77" t="s">
        <v>43</v>
      </c>
      <c r="G661" s="33" t="s">
        <v>42</v>
      </c>
      <c r="H661" s="33" t="s">
        <v>496</v>
      </c>
      <c r="I661" s="9" t="s">
        <v>495</v>
      </c>
      <c r="J661" s="1126">
        <v>153.32</v>
      </c>
      <c r="K661" s="1063">
        <v>172</v>
      </c>
      <c r="L661" s="1063">
        <v>172</v>
      </c>
      <c r="M661" s="1125">
        <v>172</v>
      </c>
      <c r="N661" s="2520"/>
      <c r="O661" s="2541">
        <v>554.52</v>
      </c>
      <c r="P661" s="2542">
        <v>576.45699999999999</v>
      </c>
      <c r="Q661" s="2543"/>
      <c r="R661" s="2544"/>
      <c r="S661" s="2514"/>
      <c r="T661" s="2514"/>
      <c r="U661" s="2514"/>
      <c r="V661" s="2520"/>
      <c r="W661" s="2520"/>
    </row>
    <row r="662" spans="1:256" s="2" customFormat="1" ht="25" hidden="1" x14ac:dyDescent="0.25">
      <c r="A662" s="32"/>
      <c r="B662" s="1127" t="s">
        <v>921</v>
      </c>
      <c r="C662" s="70"/>
      <c r="D662" s="9"/>
      <c r="E662" s="9"/>
      <c r="F662" s="79" t="s">
        <v>38</v>
      </c>
      <c r="G662" s="33"/>
      <c r="H662" s="33"/>
      <c r="I662" s="9"/>
      <c r="J662" s="1126">
        <f>J663</f>
        <v>0</v>
      </c>
      <c r="K662" s="1128"/>
      <c r="L662" s="1129"/>
      <c r="M662" s="1128"/>
      <c r="N662" s="2549">
        <f t="shared" ref="N662:R663" si="293">N663</f>
        <v>0</v>
      </c>
      <c r="O662" s="2550">
        <f t="shared" si="293"/>
        <v>0</v>
      </c>
      <c r="P662" s="2551">
        <f t="shared" si="293"/>
        <v>0</v>
      </c>
      <c r="Q662" s="2552">
        <f t="shared" si="293"/>
        <v>0</v>
      </c>
      <c r="R662" s="2553">
        <f t="shared" si="293"/>
        <v>0</v>
      </c>
      <c r="S662" s="2514"/>
      <c r="T662" s="2514"/>
      <c r="U662" s="2514"/>
      <c r="V662" s="2549">
        <f t="shared" ref="V662:W663" si="294">V663</f>
        <v>0</v>
      </c>
      <c r="W662" s="2549">
        <f t="shared" si="294"/>
        <v>0</v>
      </c>
      <c r="Y662" s="1"/>
      <c r="Z662" s="237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 s="2" customFormat="1" ht="25.5" hidden="1" thickBot="1" x14ac:dyDescent="0.3">
      <c r="A663" s="32"/>
      <c r="B663" s="1130" t="s">
        <v>454</v>
      </c>
      <c r="C663" s="70"/>
      <c r="D663" s="9"/>
      <c r="E663" s="9"/>
      <c r="F663" s="77" t="s">
        <v>38</v>
      </c>
      <c r="G663" s="33" t="s">
        <v>26</v>
      </c>
      <c r="H663" s="33"/>
      <c r="I663" s="9"/>
      <c r="J663" s="1126">
        <f>J664</f>
        <v>0</v>
      </c>
      <c r="K663" s="1128"/>
      <c r="L663" s="1129"/>
      <c r="M663" s="1128"/>
      <c r="N663" s="2520">
        <f t="shared" si="293"/>
        <v>0</v>
      </c>
      <c r="O663" s="2541">
        <f t="shared" si="293"/>
        <v>0</v>
      </c>
      <c r="P663" s="2542">
        <f t="shared" si="293"/>
        <v>0</v>
      </c>
      <c r="Q663" s="2543">
        <f t="shared" si="293"/>
        <v>0</v>
      </c>
      <c r="R663" s="2544">
        <f t="shared" si="293"/>
        <v>0</v>
      </c>
      <c r="S663" s="2514"/>
      <c r="T663" s="2514"/>
      <c r="U663" s="2514"/>
      <c r="V663" s="2520">
        <f t="shared" si="294"/>
        <v>0</v>
      </c>
      <c r="W663" s="2520">
        <f t="shared" si="294"/>
        <v>0</v>
      </c>
      <c r="Y663" s="1"/>
      <c r="Z663" s="237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 s="2" customFormat="1" ht="13" hidden="1" x14ac:dyDescent="0.3">
      <c r="A664" s="32"/>
      <c r="B664" s="744" t="s">
        <v>39</v>
      </c>
      <c r="C664" s="70"/>
      <c r="D664" s="9"/>
      <c r="E664" s="9"/>
      <c r="F664" s="77" t="s">
        <v>38</v>
      </c>
      <c r="G664" s="33" t="s">
        <v>26</v>
      </c>
      <c r="H664" s="33" t="s">
        <v>463</v>
      </c>
      <c r="I664" s="9" t="s">
        <v>488</v>
      </c>
      <c r="J664" s="1126"/>
      <c r="K664" s="1128"/>
      <c r="L664" s="1129"/>
      <c r="M664" s="1128"/>
      <c r="N664" s="2520"/>
      <c r="O664" s="2541"/>
      <c r="P664" s="2542"/>
      <c r="Q664" s="2543"/>
      <c r="R664" s="2544"/>
      <c r="S664" s="2514"/>
      <c r="T664" s="2514"/>
      <c r="U664" s="2514"/>
      <c r="V664" s="2520"/>
      <c r="W664" s="2520"/>
      <c r="Y664" s="1"/>
      <c r="Z664" s="237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 s="2" customFormat="1" ht="26" hidden="1" x14ac:dyDescent="0.25">
      <c r="A665" s="32"/>
      <c r="B665" s="76" t="s">
        <v>37</v>
      </c>
      <c r="C665" s="70"/>
      <c r="D665" s="9"/>
      <c r="E665" s="9"/>
      <c r="F665" s="34" t="s">
        <v>36</v>
      </c>
      <c r="G665" s="33"/>
      <c r="H665" s="33"/>
      <c r="I665" s="9"/>
      <c r="J665" s="1131">
        <f>J666</f>
        <v>17908.526000000002</v>
      </c>
      <c r="K665" s="1128"/>
      <c r="L665" s="1129"/>
      <c r="M665" s="1128"/>
      <c r="N665" s="2520">
        <f t="shared" ref="N665:R666" si="295">N666</f>
        <v>0</v>
      </c>
      <c r="O665" s="2649">
        <f t="shared" si="295"/>
        <v>0</v>
      </c>
      <c r="P665" s="2650">
        <f t="shared" si="295"/>
        <v>0</v>
      </c>
      <c r="Q665" s="2543">
        <f t="shared" si="295"/>
        <v>0</v>
      </c>
      <c r="R665" s="2544">
        <f t="shared" si="295"/>
        <v>0</v>
      </c>
      <c r="S665" s="2514"/>
      <c r="T665" s="2514"/>
      <c r="U665" s="2514"/>
      <c r="V665" s="2520">
        <f t="shared" ref="V665:W666" si="296">V666</f>
        <v>0</v>
      </c>
      <c r="W665" s="2520">
        <f t="shared" si="296"/>
        <v>0</v>
      </c>
      <c r="Y665" s="1"/>
      <c r="Z665" s="237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s="2" customFormat="1" ht="26" hidden="1" x14ac:dyDescent="0.25">
      <c r="A666" s="32"/>
      <c r="B666" s="1993" t="s">
        <v>4</v>
      </c>
      <c r="C666" s="70"/>
      <c r="D666" s="9"/>
      <c r="E666" s="9"/>
      <c r="F666" s="9" t="s">
        <v>36</v>
      </c>
      <c r="G666" s="33" t="s">
        <v>1</v>
      </c>
      <c r="H666" s="33"/>
      <c r="I666" s="9"/>
      <c r="J666" s="1131">
        <f>J667</f>
        <v>17908.526000000002</v>
      </c>
      <c r="K666" s="1128"/>
      <c r="L666" s="1129"/>
      <c r="M666" s="1128"/>
      <c r="N666" s="2520">
        <f t="shared" si="295"/>
        <v>0</v>
      </c>
      <c r="O666" s="2649">
        <f t="shared" si="295"/>
        <v>0</v>
      </c>
      <c r="P666" s="2650">
        <f t="shared" si="295"/>
        <v>0</v>
      </c>
      <c r="Q666" s="2543">
        <f t="shared" si="295"/>
        <v>0</v>
      </c>
      <c r="R666" s="2544">
        <f t="shared" si="295"/>
        <v>0</v>
      </c>
      <c r="S666" s="2651"/>
      <c r="T666" s="2651"/>
      <c r="U666" s="2621"/>
      <c r="V666" s="2520">
        <f t="shared" si="296"/>
        <v>0</v>
      </c>
      <c r="W666" s="2520">
        <f t="shared" si="296"/>
        <v>0</v>
      </c>
      <c r="Y666" s="1"/>
      <c r="Z666" s="237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s="2" customFormat="1" ht="13" hidden="1" x14ac:dyDescent="0.25">
      <c r="A667" s="32"/>
      <c r="B667" s="49" t="s">
        <v>34</v>
      </c>
      <c r="C667" s="70"/>
      <c r="D667" s="9"/>
      <c r="E667" s="9"/>
      <c r="F667" s="9" t="s">
        <v>36</v>
      </c>
      <c r="G667" s="33" t="s">
        <v>1</v>
      </c>
      <c r="H667" s="33"/>
      <c r="I667" s="9" t="s">
        <v>32</v>
      </c>
      <c r="J667" s="1131">
        <v>17908.526000000002</v>
      </c>
      <c r="K667" s="1128"/>
      <c r="L667" s="1129"/>
      <c r="M667" s="1128"/>
      <c r="N667" s="2520"/>
      <c r="O667" s="2649"/>
      <c r="P667" s="2650"/>
      <c r="Q667" s="2543"/>
      <c r="R667" s="2544"/>
      <c r="S667" s="2651"/>
      <c r="T667" s="2651"/>
      <c r="U667" s="2621"/>
      <c r="V667" s="2520"/>
      <c r="W667" s="2520"/>
      <c r="Y667" s="1"/>
      <c r="Z667" s="237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spans="1:256" s="2" customFormat="1" ht="39" hidden="1" x14ac:dyDescent="0.25">
      <c r="A668" s="32"/>
      <c r="B668" s="1993" t="s">
        <v>35</v>
      </c>
      <c r="C668" s="70"/>
      <c r="D668" s="9"/>
      <c r="E668" s="9"/>
      <c r="F668" s="34" t="s">
        <v>33</v>
      </c>
      <c r="G668" s="33"/>
      <c r="H668" s="33"/>
      <c r="I668" s="9"/>
      <c r="J668" s="1131">
        <f>J669</f>
        <v>7028.6390000000001</v>
      </c>
      <c r="K668" s="1128"/>
      <c r="L668" s="1129"/>
      <c r="M668" s="1128"/>
      <c r="N668" s="2520">
        <f t="shared" ref="N668:R669" si="297">N669</f>
        <v>0</v>
      </c>
      <c r="O668" s="2649">
        <f t="shared" si="297"/>
        <v>0</v>
      </c>
      <c r="P668" s="2650">
        <f t="shared" si="297"/>
        <v>0</v>
      </c>
      <c r="Q668" s="2543">
        <f t="shared" si="297"/>
        <v>0</v>
      </c>
      <c r="R668" s="2544">
        <f t="shared" si="297"/>
        <v>0</v>
      </c>
      <c r="S668" s="2514"/>
      <c r="T668" s="2514"/>
      <c r="U668" s="2514"/>
      <c r="V668" s="2520">
        <f t="shared" ref="V668:W669" si="298">V669</f>
        <v>0</v>
      </c>
      <c r="W668" s="2520">
        <f t="shared" si="298"/>
        <v>0</v>
      </c>
      <c r="Y668" s="1"/>
      <c r="Z668" s="237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spans="1:256" s="2" customFormat="1" ht="26" hidden="1" x14ac:dyDescent="0.25">
      <c r="A669" s="32"/>
      <c r="B669" s="1993" t="s">
        <v>4</v>
      </c>
      <c r="C669" s="70"/>
      <c r="D669" s="9"/>
      <c r="E669" s="9"/>
      <c r="F669" s="9" t="s">
        <v>33</v>
      </c>
      <c r="G669" s="33" t="s">
        <v>1</v>
      </c>
      <c r="H669" s="33"/>
      <c r="I669" s="9"/>
      <c r="J669" s="1131">
        <f>J670</f>
        <v>7028.6390000000001</v>
      </c>
      <c r="K669" s="1128"/>
      <c r="L669" s="1129"/>
      <c r="M669" s="1128"/>
      <c r="N669" s="2520">
        <f t="shared" si="297"/>
        <v>0</v>
      </c>
      <c r="O669" s="2649">
        <f t="shared" si="297"/>
        <v>0</v>
      </c>
      <c r="P669" s="2650">
        <f t="shared" si="297"/>
        <v>0</v>
      </c>
      <c r="Q669" s="2543">
        <f t="shared" si="297"/>
        <v>0</v>
      </c>
      <c r="R669" s="2544">
        <f t="shared" si="297"/>
        <v>0</v>
      </c>
      <c r="S669" s="2514"/>
      <c r="T669" s="2514"/>
      <c r="U669" s="2514"/>
      <c r="V669" s="2520">
        <f t="shared" si="298"/>
        <v>0</v>
      </c>
      <c r="W669" s="2520">
        <f t="shared" si="298"/>
        <v>0</v>
      </c>
      <c r="Y669" s="1"/>
      <c r="Z669" s="237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spans="1:256" s="2" customFormat="1" ht="27" hidden="1" customHeight="1" x14ac:dyDescent="0.25">
      <c r="A670" s="32"/>
      <c r="B670" s="49" t="s">
        <v>34</v>
      </c>
      <c r="C670" s="70"/>
      <c r="D670" s="9"/>
      <c r="E670" s="9"/>
      <c r="F670" s="9" t="s">
        <v>33</v>
      </c>
      <c r="G670" s="33" t="s">
        <v>1</v>
      </c>
      <c r="H670" s="33"/>
      <c r="I670" s="9" t="s">
        <v>32</v>
      </c>
      <c r="J670" s="1131">
        <f>838.062+6190.577</f>
        <v>7028.6390000000001</v>
      </c>
      <c r="K670" s="1128"/>
      <c r="L670" s="1129"/>
      <c r="M670" s="1128"/>
      <c r="N670" s="2520"/>
      <c r="O670" s="2649"/>
      <c r="P670" s="2650"/>
      <c r="Q670" s="2543"/>
      <c r="R670" s="2544"/>
      <c r="S670" s="2514"/>
      <c r="T670" s="2514"/>
      <c r="U670" s="2514"/>
      <c r="V670" s="2520"/>
      <c r="W670" s="2520"/>
      <c r="Y670" s="1"/>
      <c r="Z670" s="237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spans="1:256" s="2" customFormat="1" ht="25.15" hidden="1" customHeight="1" x14ac:dyDescent="0.25">
      <c r="A671" s="32"/>
      <c r="B671" s="90" t="s">
        <v>296</v>
      </c>
      <c r="C671" s="70"/>
      <c r="D671" s="9"/>
      <c r="E671" s="9"/>
      <c r="F671" s="34" t="s">
        <v>624</v>
      </c>
      <c r="G671" s="33"/>
      <c r="H671" s="33"/>
      <c r="I671" s="9"/>
      <c r="J671" s="1133"/>
      <c r="K671" s="1128"/>
      <c r="L671" s="1129"/>
      <c r="M671" s="1128"/>
      <c r="N671" s="2965">
        <f>N672</f>
        <v>0</v>
      </c>
      <c r="O671" s="2652"/>
      <c r="P671" s="2652"/>
      <c r="Q671" s="2653">
        <f>Q672</f>
        <v>0</v>
      </c>
      <c r="R671" s="2654">
        <f>R672</f>
        <v>0</v>
      </c>
      <c r="S671" s="2514"/>
      <c r="T671" s="2514"/>
      <c r="U671" s="2514"/>
      <c r="V671" s="2965">
        <f>V672</f>
        <v>0</v>
      </c>
      <c r="W671" s="2965">
        <f>W672</f>
        <v>0</v>
      </c>
      <c r="Y671" s="1"/>
      <c r="Z671" s="237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spans="1:256" s="2" customFormat="1" ht="17.5" hidden="1" customHeight="1" x14ac:dyDescent="0.3">
      <c r="A672" s="32"/>
      <c r="B672" s="744" t="s">
        <v>16</v>
      </c>
      <c r="C672" s="70"/>
      <c r="D672" s="9"/>
      <c r="E672" s="9"/>
      <c r="F672" s="9" t="s">
        <v>624</v>
      </c>
      <c r="G672" s="9" t="s">
        <v>1</v>
      </c>
      <c r="H672" s="33"/>
      <c r="I672" s="9"/>
      <c r="J672" s="1133"/>
      <c r="K672" s="1128"/>
      <c r="L672" s="1129"/>
      <c r="M672" s="1128"/>
      <c r="N672" s="2546">
        <f>N673</f>
        <v>0</v>
      </c>
      <c r="O672" s="2652"/>
      <c r="P672" s="2652"/>
      <c r="Q672" s="2655">
        <f>Q673</f>
        <v>0</v>
      </c>
      <c r="R672" s="2548">
        <f>R673</f>
        <v>0</v>
      </c>
      <c r="S672" s="2514"/>
      <c r="T672" s="2514"/>
      <c r="U672" s="2514"/>
      <c r="V672" s="2546">
        <f>V673</f>
        <v>0</v>
      </c>
      <c r="W672" s="2546">
        <f>W673</f>
        <v>0</v>
      </c>
      <c r="Y672" s="1"/>
      <c r="Z672" s="237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spans="1:256" s="2" customFormat="1" ht="39.65" hidden="1" customHeight="1" x14ac:dyDescent="0.25">
      <c r="A673" s="32"/>
      <c r="B673" s="49" t="s">
        <v>64</v>
      </c>
      <c r="C673" s="70"/>
      <c r="D673" s="9"/>
      <c r="E673" s="9"/>
      <c r="F673" s="9" t="s">
        <v>624</v>
      </c>
      <c r="G673" s="9" t="s">
        <v>1</v>
      </c>
      <c r="H673" s="33" t="s">
        <v>464</v>
      </c>
      <c r="I673" s="9" t="s">
        <v>463</v>
      </c>
      <c r="J673" s="1133"/>
      <c r="K673" s="1128"/>
      <c r="L673" s="1129"/>
      <c r="M673" s="1128"/>
      <c r="N673" s="2546">
        <v>0</v>
      </c>
      <c r="O673" s="2652"/>
      <c r="P673" s="2652"/>
      <c r="Q673" s="2655">
        <v>0</v>
      </c>
      <c r="R673" s="2548">
        <v>0</v>
      </c>
      <c r="S673" s="2514"/>
      <c r="T673" s="2514"/>
      <c r="U673" s="2514"/>
      <c r="V673" s="2546">
        <v>0</v>
      </c>
      <c r="W673" s="2546">
        <v>0</v>
      </c>
      <c r="Y673" s="1"/>
      <c r="Z673" s="237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spans="1:256" s="2" customFormat="1" ht="43.5" hidden="1" customHeight="1" x14ac:dyDescent="0.25">
      <c r="A674" s="32"/>
      <c r="B674" s="1108" t="s">
        <v>31</v>
      </c>
      <c r="C674" s="31"/>
      <c r="D674" s="9"/>
      <c r="E674" s="9"/>
      <c r="F674" s="34" t="s">
        <v>30</v>
      </c>
      <c r="G674" s="33"/>
      <c r="H674" s="33"/>
      <c r="I674" s="9"/>
      <c r="J674" s="520"/>
      <c r="K674" s="65"/>
      <c r="L674" s="64">
        <f t="shared" ref="L674:R674" si="299">L675</f>
        <v>0</v>
      </c>
      <c r="M674" s="1570">
        <f t="shared" si="299"/>
        <v>0</v>
      </c>
      <c r="N674" s="2966">
        <f t="shared" si="299"/>
        <v>0</v>
      </c>
      <c r="O674" s="2656">
        <f t="shared" si="299"/>
        <v>0</v>
      </c>
      <c r="P674" s="2656">
        <f t="shared" si="299"/>
        <v>0</v>
      </c>
      <c r="Q674" s="2657">
        <f t="shared" si="299"/>
        <v>0</v>
      </c>
      <c r="R674" s="2658">
        <f t="shared" si="299"/>
        <v>0</v>
      </c>
      <c r="S674" s="2514"/>
      <c r="T674" s="2514"/>
      <c r="U674" s="2514"/>
      <c r="V674" s="2966">
        <f t="shared" ref="V674:W674" si="300">V675</f>
        <v>0</v>
      </c>
      <c r="W674" s="2966">
        <f t="shared" si="300"/>
        <v>0</v>
      </c>
      <c r="Y674" s="1"/>
      <c r="Z674" s="237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spans="1:256" s="2" customFormat="1" ht="60.75" hidden="1" customHeight="1" x14ac:dyDescent="0.25">
      <c r="A675" s="32"/>
      <c r="B675" s="1993" t="s">
        <v>4</v>
      </c>
      <c r="C675" s="9"/>
      <c r="D675" s="9" t="s">
        <v>15</v>
      </c>
      <c r="E675" s="9" t="s">
        <v>9</v>
      </c>
      <c r="F675" s="9" t="s">
        <v>30</v>
      </c>
      <c r="G675" s="9" t="s">
        <v>1</v>
      </c>
      <c r="H675" s="9"/>
      <c r="I675" s="9"/>
      <c r="J675" s="521"/>
      <c r="K675" s="61"/>
      <c r="L675" s="60"/>
      <c r="M675" s="1571"/>
      <c r="N675" s="2546">
        <f>N676</f>
        <v>0</v>
      </c>
      <c r="O675" s="2614">
        <f>O676</f>
        <v>0</v>
      </c>
      <c r="P675" s="2614">
        <f>P676</f>
        <v>0</v>
      </c>
      <c r="Q675" s="2615">
        <f>Q676</f>
        <v>0</v>
      </c>
      <c r="R675" s="2616">
        <f>R676</f>
        <v>0</v>
      </c>
      <c r="S675" s="2514"/>
      <c r="T675" s="2514"/>
      <c r="U675" s="2514"/>
      <c r="V675" s="2546">
        <f>V676</f>
        <v>0</v>
      </c>
      <c r="W675" s="2546">
        <f>W676</f>
        <v>0</v>
      </c>
      <c r="Y675" s="1"/>
      <c r="Z675" s="237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spans="1:256" s="2" customFormat="1" ht="48" hidden="1" customHeight="1" x14ac:dyDescent="0.3">
      <c r="A676" s="32"/>
      <c r="B676" s="744" t="s">
        <v>11</v>
      </c>
      <c r="C676" s="9"/>
      <c r="D676" s="9"/>
      <c r="E676" s="9"/>
      <c r="F676" s="9" t="s">
        <v>30</v>
      </c>
      <c r="G676" s="9" t="s">
        <v>1</v>
      </c>
      <c r="H676" s="9" t="s">
        <v>463</v>
      </c>
      <c r="I676" s="9" t="s">
        <v>456</v>
      </c>
      <c r="J676" s="521"/>
      <c r="K676" s="61"/>
      <c r="L676" s="60"/>
      <c r="M676" s="1571"/>
      <c r="N676" s="2546">
        <v>0</v>
      </c>
      <c r="O676" s="2614"/>
      <c r="P676" s="2614"/>
      <c r="Q676" s="2615">
        <v>0</v>
      </c>
      <c r="R676" s="2616">
        <v>0</v>
      </c>
      <c r="S676" s="2514"/>
      <c r="T676" s="2514"/>
      <c r="U676" s="2514"/>
      <c r="V676" s="2546">
        <v>0</v>
      </c>
      <c r="W676" s="2546">
        <v>0</v>
      </c>
      <c r="Y676" s="1"/>
      <c r="Z676" s="237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spans="1:256" s="2" customFormat="1" ht="16.899999999999999" hidden="1" customHeight="1" x14ac:dyDescent="0.25">
      <c r="A677" s="32"/>
      <c r="B677" s="58" t="s">
        <v>29</v>
      </c>
      <c r="C677" s="9"/>
      <c r="D677" s="9" t="s">
        <v>15</v>
      </c>
      <c r="E677" s="9" t="s">
        <v>9</v>
      </c>
      <c r="F677" s="34" t="s">
        <v>27</v>
      </c>
      <c r="G677" s="48"/>
      <c r="H677" s="48"/>
      <c r="I677" s="9"/>
      <c r="J677" s="521"/>
      <c r="K677" s="47"/>
      <c r="L677" s="57">
        <f>L679</f>
        <v>10000</v>
      </c>
      <c r="M677" s="1572">
        <f>M679</f>
        <v>10000</v>
      </c>
      <c r="N677" s="2546"/>
      <c r="O677" s="2614"/>
      <c r="P677" s="2614"/>
      <c r="Q677" s="2615"/>
      <c r="R677" s="2616"/>
      <c r="S677" s="2514"/>
      <c r="T677" s="2514"/>
      <c r="U677" s="2514"/>
      <c r="V677" s="2546"/>
      <c r="W677" s="2546"/>
      <c r="Y677" s="1"/>
      <c r="Z677" s="237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spans="1:256" ht="26.5" hidden="1" customHeight="1" x14ac:dyDescent="0.25">
      <c r="A678" s="32"/>
      <c r="B678" s="2080" t="s">
        <v>28</v>
      </c>
      <c r="C678" s="9"/>
      <c r="D678" s="9"/>
      <c r="E678" s="9"/>
      <c r="F678" s="9" t="s">
        <v>27</v>
      </c>
      <c r="G678" s="9" t="s">
        <v>26</v>
      </c>
      <c r="H678" s="9"/>
      <c r="I678" s="9"/>
      <c r="J678" s="1126"/>
      <c r="K678" s="48"/>
      <c r="L678" s="54">
        <v>10000</v>
      </c>
      <c r="M678" s="1573">
        <v>10000</v>
      </c>
      <c r="N678" s="2520"/>
      <c r="O678" s="2541"/>
      <c r="P678" s="2542"/>
      <c r="Q678" s="2543"/>
      <c r="R678" s="2544"/>
      <c r="S678" s="2514"/>
      <c r="T678" s="2514"/>
      <c r="U678" s="2514"/>
      <c r="V678" s="2520"/>
      <c r="W678" s="2520"/>
    </row>
    <row r="679" spans="1:256" ht="16.899999999999999" hidden="1" customHeight="1" x14ac:dyDescent="0.3">
      <c r="A679" s="32"/>
      <c r="B679" s="744" t="s">
        <v>11</v>
      </c>
      <c r="C679" s="9"/>
      <c r="D679" s="9" t="s">
        <v>15</v>
      </c>
      <c r="E679" s="9" t="s">
        <v>9</v>
      </c>
      <c r="F679" s="9" t="s">
        <v>27</v>
      </c>
      <c r="G679" s="9" t="s">
        <v>26</v>
      </c>
      <c r="H679" s="9"/>
      <c r="I679" s="9" t="s">
        <v>9</v>
      </c>
      <c r="J679" s="1126"/>
      <c r="K679" s="48"/>
      <c r="L679" s="54">
        <v>10000</v>
      </c>
      <c r="M679" s="1573">
        <v>10000</v>
      </c>
      <c r="N679" s="2520"/>
      <c r="O679" s="2541"/>
      <c r="P679" s="2542"/>
      <c r="Q679" s="2543"/>
      <c r="R679" s="2544"/>
      <c r="S679" s="2514"/>
      <c r="T679" s="2514"/>
      <c r="U679" s="2514"/>
      <c r="V679" s="2520"/>
      <c r="W679" s="2520"/>
    </row>
    <row r="680" spans="1:256" ht="16.899999999999999" hidden="1" customHeight="1" x14ac:dyDescent="0.25">
      <c r="A680" s="32"/>
      <c r="B680" s="52" t="s">
        <v>25</v>
      </c>
      <c r="C680" s="9"/>
      <c r="D680" s="34" t="s">
        <v>15</v>
      </c>
      <c r="E680" s="34" t="s">
        <v>13</v>
      </c>
      <c r="F680" s="34" t="s">
        <v>24</v>
      </c>
      <c r="G680" s="48"/>
      <c r="H680" s="48"/>
      <c r="I680" s="34"/>
      <c r="J680" s="131">
        <f>J681</f>
        <v>0</v>
      </c>
      <c r="K680" s="51"/>
      <c r="L680" s="51">
        <f t="shared" ref="L680:R680" si="301">L681</f>
        <v>85</v>
      </c>
      <c r="M680" s="1553">
        <f t="shared" si="301"/>
        <v>85</v>
      </c>
      <c r="N680" s="2549">
        <f t="shared" si="301"/>
        <v>0</v>
      </c>
      <c r="O680" s="2516">
        <f t="shared" si="301"/>
        <v>0</v>
      </c>
      <c r="P680" s="2517">
        <f t="shared" si="301"/>
        <v>0</v>
      </c>
      <c r="Q680" s="2518">
        <f t="shared" si="301"/>
        <v>0</v>
      </c>
      <c r="R680" s="2519">
        <f t="shared" si="301"/>
        <v>0</v>
      </c>
      <c r="S680" s="2514"/>
      <c r="T680" s="2514"/>
      <c r="U680" s="2514"/>
      <c r="V680" s="2549">
        <f t="shared" ref="V680:W680" si="302">V681</f>
        <v>0</v>
      </c>
      <c r="W680" s="2549">
        <f t="shared" si="302"/>
        <v>0</v>
      </c>
    </row>
    <row r="681" spans="1:256" ht="26" hidden="1" x14ac:dyDescent="0.25">
      <c r="A681" s="32"/>
      <c r="B681" s="49" t="s">
        <v>23</v>
      </c>
      <c r="C681" s="9"/>
      <c r="D681" s="9" t="s">
        <v>15</v>
      </c>
      <c r="E681" s="9" t="s">
        <v>13</v>
      </c>
      <c r="F681" s="9" t="s">
        <v>14</v>
      </c>
      <c r="G681" s="48"/>
      <c r="H681" s="48"/>
      <c r="I681" s="9"/>
      <c r="J681" s="48">
        <f>J684</f>
        <v>0</v>
      </c>
      <c r="K681" s="47"/>
      <c r="L681" s="47">
        <f t="shared" ref="L681:R681" si="303">L684</f>
        <v>85</v>
      </c>
      <c r="M681" s="209">
        <f t="shared" si="303"/>
        <v>85</v>
      </c>
      <c r="N681" s="2520">
        <f t="shared" si="303"/>
        <v>0</v>
      </c>
      <c r="O681" s="2585">
        <f t="shared" si="303"/>
        <v>0</v>
      </c>
      <c r="P681" s="2586">
        <f t="shared" si="303"/>
        <v>0</v>
      </c>
      <c r="Q681" s="2587">
        <f t="shared" si="303"/>
        <v>0</v>
      </c>
      <c r="R681" s="2588">
        <f t="shared" si="303"/>
        <v>0</v>
      </c>
      <c r="S681" s="2514"/>
      <c r="T681" s="2514"/>
      <c r="U681" s="2514"/>
      <c r="V681" s="2520">
        <f t="shared" ref="V681:W681" si="304">V684</f>
        <v>0</v>
      </c>
      <c r="W681" s="2520">
        <f t="shared" si="304"/>
        <v>0</v>
      </c>
    </row>
    <row r="682" spans="1:256" ht="37.5" hidden="1" customHeight="1" x14ac:dyDescent="0.25">
      <c r="A682" s="32"/>
      <c r="B682" s="42" t="s">
        <v>22</v>
      </c>
      <c r="C682" s="31"/>
      <c r="D682" s="31" t="s">
        <v>15</v>
      </c>
      <c r="E682" s="31" t="s">
        <v>13</v>
      </c>
      <c r="F682" s="31" t="s">
        <v>21</v>
      </c>
      <c r="G682" s="3485" t="s">
        <v>20</v>
      </c>
      <c r="H682" s="3486"/>
      <c r="I682" s="3486"/>
      <c r="J682" s="3487"/>
      <c r="K682" s="45"/>
      <c r="L682" s="44"/>
      <c r="M682" s="44"/>
      <c r="N682" s="2964"/>
      <c r="O682" s="2514"/>
      <c r="P682" s="2514"/>
      <c r="Q682" s="2627"/>
      <c r="R682" s="2628"/>
      <c r="S682" s="2514"/>
      <c r="T682" s="2514"/>
      <c r="U682" s="2514"/>
      <c r="V682" s="2964"/>
      <c r="W682" s="2964"/>
    </row>
    <row r="683" spans="1:256" ht="16.899999999999999" hidden="1" customHeight="1" x14ac:dyDescent="0.25">
      <c r="A683" s="32"/>
      <c r="B683" s="42" t="s">
        <v>19</v>
      </c>
      <c r="C683" s="31"/>
      <c r="D683" s="31" t="s">
        <v>15</v>
      </c>
      <c r="E683" s="31" t="s">
        <v>13</v>
      </c>
      <c r="F683" s="31" t="s">
        <v>18</v>
      </c>
      <c r="G683" s="3485" t="s">
        <v>17</v>
      </c>
      <c r="H683" s="3486"/>
      <c r="I683" s="3486"/>
      <c r="J683" s="3487"/>
      <c r="K683" s="41"/>
      <c r="L683" s="2"/>
      <c r="M683" s="2"/>
      <c r="N683" s="2964"/>
      <c r="O683" s="2514"/>
      <c r="P683" s="2514"/>
      <c r="Q683" s="2627"/>
      <c r="R683" s="2628"/>
      <c r="S683" s="2514"/>
      <c r="T683" s="2514"/>
      <c r="U683" s="2514"/>
      <c r="V683" s="2964"/>
      <c r="W683" s="2964"/>
    </row>
    <row r="684" spans="1:256" ht="16.899999999999999" hidden="1" customHeight="1" x14ac:dyDescent="0.3">
      <c r="A684" s="32"/>
      <c r="B684" s="2108" t="s">
        <v>16</v>
      </c>
      <c r="C684" s="31"/>
      <c r="D684" s="9" t="s">
        <v>15</v>
      </c>
      <c r="E684" s="9" t="s">
        <v>13</v>
      </c>
      <c r="F684" s="9" t="s">
        <v>14</v>
      </c>
      <c r="G684" s="33" t="s">
        <v>1</v>
      </c>
      <c r="H684" s="33"/>
      <c r="I684" s="9" t="s">
        <v>13</v>
      </c>
      <c r="J684" s="515"/>
      <c r="K684" s="30"/>
      <c r="L684" s="29">
        <v>85</v>
      </c>
      <c r="M684" s="1569">
        <v>85</v>
      </c>
      <c r="N684" s="2597"/>
      <c r="O684" s="2629"/>
      <c r="P684" s="2629"/>
      <c r="Q684" s="2630"/>
      <c r="R684" s="2631"/>
      <c r="S684" s="2514"/>
      <c r="T684" s="2514"/>
      <c r="U684" s="2514"/>
      <c r="V684" s="2597"/>
      <c r="W684" s="2597"/>
    </row>
    <row r="685" spans="1:256" ht="16.899999999999999" hidden="1" customHeight="1" x14ac:dyDescent="0.3">
      <c r="A685" s="32"/>
      <c r="B685" s="538" t="s">
        <v>525</v>
      </c>
      <c r="C685" s="31"/>
      <c r="D685" s="9"/>
      <c r="E685" s="9"/>
      <c r="F685" s="37" t="s">
        <v>524</v>
      </c>
      <c r="G685" s="33"/>
      <c r="H685" s="33"/>
      <c r="I685" s="9"/>
      <c r="J685" s="515"/>
      <c r="K685" s="30"/>
      <c r="L685" s="29"/>
      <c r="M685" s="1569"/>
      <c r="N685" s="2603">
        <f>N686</f>
        <v>0</v>
      </c>
      <c r="O685" s="2629"/>
      <c r="P685" s="2629"/>
      <c r="Q685" s="2643">
        <f>Q686</f>
        <v>0</v>
      </c>
      <c r="R685" s="2644">
        <f>R686</f>
        <v>0</v>
      </c>
      <c r="S685" s="2514"/>
      <c r="T685" s="2514"/>
      <c r="U685" s="2514"/>
      <c r="V685" s="2603">
        <f>V686</f>
        <v>0</v>
      </c>
      <c r="W685" s="2603">
        <f>W686</f>
        <v>0</v>
      </c>
      <c r="X685" s="1"/>
    </row>
    <row r="686" spans="1:256" ht="27.75" hidden="1" customHeight="1" x14ac:dyDescent="0.3">
      <c r="A686" s="32"/>
      <c r="B686" s="58" t="s">
        <v>28</v>
      </c>
      <c r="C686" s="31"/>
      <c r="D686" s="9"/>
      <c r="E686" s="9"/>
      <c r="F686" s="10" t="s">
        <v>524</v>
      </c>
      <c r="G686" s="33" t="s">
        <v>26</v>
      </c>
      <c r="H686" s="33"/>
      <c r="I686" s="9"/>
      <c r="J686" s="515"/>
      <c r="K686" s="30"/>
      <c r="L686" s="29"/>
      <c r="M686" s="1569"/>
      <c r="N686" s="2597">
        <f>N687</f>
        <v>0</v>
      </c>
      <c r="O686" s="2629"/>
      <c r="P686" s="2629"/>
      <c r="Q686" s="2630">
        <f>Q687</f>
        <v>0</v>
      </c>
      <c r="R686" s="2631">
        <f>R687</f>
        <v>0</v>
      </c>
      <c r="S686" s="2514"/>
      <c r="T686" s="2514"/>
      <c r="U686" s="2514"/>
      <c r="V686" s="2597">
        <f>V687</f>
        <v>0</v>
      </c>
      <c r="W686" s="2597">
        <f>W687</f>
        <v>0</v>
      </c>
      <c r="X686" s="1"/>
    </row>
    <row r="687" spans="1:256" ht="36.75" hidden="1" customHeight="1" x14ac:dyDescent="0.3">
      <c r="A687" s="32"/>
      <c r="B687" s="744" t="s">
        <v>39</v>
      </c>
      <c r="C687" s="31"/>
      <c r="D687" s="9"/>
      <c r="E687" s="9"/>
      <c r="F687" s="10" t="s">
        <v>524</v>
      </c>
      <c r="G687" s="33" t="s">
        <v>26</v>
      </c>
      <c r="H687" s="33" t="s">
        <v>463</v>
      </c>
      <c r="I687" s="9" t="s">
        <v>488</v>
      </c>
      <c r="J687" s="515"/>
      <c r="K687" s="30"/>
      <c r="L687" s="29"/>
      <c r="M687" s="1569"/>
      <c r="N687" s="2597">
        <f>4900-4900</f>
        <v>0</v>
      </c>
      <c r="O687" s="2629"/>
      <c r="P687" s="2629"/>
      <c r="Q687" s="2630">
        <f>4900-4900</f>
        <v>0</v>
      </c>
      <c r="R687" s="2631">
        <f>4900-4900</f>
        <v>0</v>
      </c>
      <c r="S687" s="2514"/>
      <c r="T687" s="2514"/>
      <c r="U687" s="2514"/>
      <c r="V687" s="2597">
        <f>4900-4900</f>
        <v>0</v>
      </c>
      <c r="W687" s="2597">
        <f>4900-4900</f>
        <v>0</v>
      </c>
      <c r="X687" s="1"/>
    </row>
    <row r="688" spans="1:256" ht="16.899999999999999" hidden="1" customHeight="1" x14ac:dyDescent="0.3">
      <c r="A688" s="32"/>
      <c r="B688" s="38" t="s">
        <v>922</v>
      </c>
      <c r="C688" s="911"/>
      <c r="D688" s="11"/>
      <c r="E688" s="11"/>
      <c r="F688" s="37" t="s">
        <v>923</v>
      </c>
      <c r="G688" s="522"/>
      <c r="H688" s="522"/>
      <c r="I688" s="522"/>
      <c r="J688" s="1135">
        <f>J689+J691</f>
        <v>600.79999999999995</v>
      </c>
      <c r="K688" s="30"/>
      <c r="L688" s="29"/>
      <c r="M688" s="1569"/>
      <c r="N688" s="2967">
        <f>N689+N691</f>
        <v>0</v>
      </c>
      <c r="O688" s="2659">
        <f>O689+O691</f>
        <v>0</v>
      </c>
      <c r="P688" s="2660">
        <f>P689+P691</f>
        <v>0</v>
      </c>
      <c r="Q688" s="2661">
        <f>Q689+Q691</f>
        <v>0</v>
      </c>
      <c r="R688" s="2662">
        <f>R689+R691</f>
        <v>0</v>
      </c>
      <c r="S688" s="2514"/>
      <c r="T688" s="2514"/>
      <c r="U688" s="2514"/>
      <c r="V688" s="2967">
        <f>V689+V691</f>
        <v>0</v>
      </c>
      <c r="W688" s="2967">
        <f>W689+W691</f>
        <v>0</v>
      </c>
      <c r="X688" s="1"/>
    </row>
    <row r="689" spans="1:24" ht="27.65" hidden="1" customHeight="1" x14ac:dyDescent="0.3">
      <c r="A689" s="32"/>
      <c r="B689" s="2114" t="s">
        <v>916</v>
      </c>
      <c r="C689" s="911"/>
      <c r="D689" s="11"/>
      <c r="E689" s="11"/>
      <c r="F689" s="10" t="s">
        <v>923</v>
      </c>
      <c r="G689" s="9" t="s">
        <v>521</v>
      </c>
      <c r="H689" s="9"/>
      <c r="I689" s="522"/>
      <c r="J689" s="1126">
        <f>J690</f>
        <v>493.39</v>
      </c>
      <c r="K689" s="30"/>
      <c r="L689" s="29"/>
      <c r="M689" s="1569"/>
      <c r="N689" s="2520">
        <f>N690</f>
        <v>0</v>
      </c>
      <c r="O689" s="2541">
        <f>O690</f>
        <v>0</v>
      </c>
      <c r="P689" s="2542">
        <f>P690</f>
        <v>0</v>
      </c>
      <c r="Q689" s="2543">
        <f>Q690</f>
        <v>0</v>
      </c>
      <c r="R689" s="2544">
        <f>R690</f>
        <v>0</v>
      </c>
      <c r="S689" s="2514"/>
      <c r="T689" s="2514"/>
      <c r="U689" s="2514"/>
      <c r="V689" s="2520">
        <f>V690</f>
        <v>0</v>
      </c>
      <c r="W689" s="2520">
        <f>W690</f>
        <v>0</v>
      </c>
      <c r="X689" s="1"/>
    </row>
    <row r="690" spans="1:24" ht="16.899999999999999" hidden="1" customHeight="1" x14ac:dyDescent="0.3">
      <c r="A690" s="32"/>
      <c r="B690" s="744" t="s">
        <v>39</v>
      </c>
      <c r="C690" s="911"/>
      <c r="D690" s="11"/>
      <c r="E690" s="11"/>
      <c r="F690" s="10" t="s">
        <v>923</v>
      </c>
      <c r="G690" s="9" t="s">
        <v>521</v>
      </c>
      <c r="H690" s="9" t="s">
        <v>463</v>
      </c>
      <c r="I690" s="9" t="s">
        <v>488</v>
      </c>
      <c r="J690" s="1126">
        <f>378.948+114.442</f>
        <v>493.39</v>
      </c>
      <c r="K690" s="30"/>
      <c r="L690" s="29"/>
      <c r="M690" s="1569"/>
      <c r="N690" s="2520">
        <v>0</v>
      </c>
      <c r="O690" s="2541"/>
      <c r="P690" s="2542"/>
      <c r="Q690" s="2543">
        <v>0</v>
      </c>
      <c r="R690" s="2544">
        <v>0</v>
      </c>
      <c r="S690" s="2514"/>
      <c r="T690" s="2514"/>
      <c r="U690" s="2514"/>
      <c r="V690" s="2520">
        <v>0</v>
      </c>
      <c r="W690" s="2520">
        <v>0</v>
      </c>
      <c r="X690" s="1"/>
    </row>
    <row r="691" spans="1:24" ht="16.899999999999999" hidden="1" customHeight="1" x14ac:dyDescent="0.3">
      <c r="A691" s="32"/>
      <c r="B691" s="1993"/>
      <c r="C691" s="911"/>
      <c r="D691" s="11"/>
      <c r="E691" s="11"/>
      <c r="F691" s="10" t="s">
        <v>2</v>
      </c>
      <c r="G691" s="9" t="s">
        <v>1</v>
      </c>
      <c r="H691" s="9"/>
      <c r="I691" s="9"/>
      <c r="J691" s="1139">
        <f>J692</f>
        <v>107.41</v>
      </c>
      <c r="K691" s="30"/>
      <c r="L691" s="29"/>
      <c r="M691" s="1569"/>
      <c r="N691" s="2961">
        <f>N692</f>
        <v>0</v>
      </c>
      <c r="O691" s="2663">
        <f>O692</f>
        <v>0</v>
      </c>
      <c r="P691" s="2664">
        <f>P692</f>
        <v>0</v>
      </c>
      <c r="Q691" s="2665">
        <f>Q692</f>
        <v>0</v>
      </c>
      <c r="R691" s="2666">
        <f>R692</f>
        <v>0</v>
      </c>
      <c r="S691" s="2514"/>
      <c r="T691" s="2514"/>
      <c r="U691" s="2514"/>
      <c r="V691" s="2961">
        <f>V692</f>
        <v>0</v>
      </c>
      <c r="W691" s="2961">
        <f>W692</f>
        <v>0</v>
      </c>
      <c r="X691" s="1"/>
    </row>
    <row r="692" spans="1:24" ht="26.15" hidden="1" customHeight="1" x14ac:dyDescent="0.3">
      <c r="A692" s="32"/>
      <c r="B692" s="12"/>
      <c r="C692" s="911"/>
      <c r="D692" s="11"/>
      <c r="E692" s="11"/>
      <c r="F692" s="10" t="s">
        <v>2</v>
      </c>
      <c r="G692" s="9" t="s">
        <v>1</v>
      </c>
      <c r="H692" s="9" t="s">
        <v>488</v>
      </c>
      <c r="I692" s="9" t="s">
        <v>495</v>
      </c>
      <c r="J692" s="1126">
        <f>86.41+21</f>
        <v>107.41</v>
      </c>
      <c r="K692" s="30"/>
      <c r="L692" s="29"/>
      <c r="M692" s="1569"/>
      <c r="N692" s="2520"/>
      <c r="O692" s="2541"/>
      <c r="P692" s="2542"/>
      <c r="Q692" s="2543"/>
      <c r="R692" s="2544"/>
      <c r="S692" s="2514"/>
      <c r="T692" s="2514"/>
      <c r="U692" s="2514"/>
      <c r="V692" s="2520"/>
      <c r="W692" s="2520"/>
      <c r="X692" s="1"/>
    </row>
    <row r="693" spans="1:24" ht="38.15" hidden="1" customHeight="1" x14ac:dyDescent="0.3">
      <c r="A693" s="32"/>
      <c r="B693" s="1143" t="s">
        <v>924</v>
      </c>
      <c r="C693" s="22"/>
      <c r="D693" s="20"/>
      <c r="E693" s="20"/>
      <c r="F693" s="1144" t="s">
        <v>925</v>
      </c>
      <c r="G693" s="142"/>
      <c r="H693" s="142"/>
      <c r="I693" s="142"/>
      <c r="J693" s="1145"/>
      <c r="K693" s="741"/>
      <c r="L693" s="742"/>
      <c r="M693" s="1570"/>
      <c r="N693" s="2965">
        <f>N694</f>
        <v>0</v>
      </c>
      <c r="O693" s="2541"/>
      <c r="P693" s="2541"/>
      <c r="Q693" s="2667">
        <f>Q694</f>
        <v>0</v>
      </c>
      <c r="R693" s="2654">
        <f>R694</f>
        <v>0</v>
      </c>
      <c r="S693" s="2514"/>
      <c r="T693" s="2514"/>
      <c r="U693" s="2514"/>
      <c r="V693" s="2965">
        <f>V694</f>
        <v>0</v>
      </c>
      <c r="W693" s="2965">
        <f>W694</f>
        <v>0</v>
      </c>
      <c r="X693" s="1"/>
    </row>
    <row r="694" spans="1:24" ht="16.899999999999999" hidden="1" customHeight="1" x14ac:dyDescent="0.3">
      <c r="A694" s="32"/>
      <c r="B694" s="2114" t="s">
        <v>916</v>
      </c>
      <c r="C694" s="22"/>
      <c r="D694" s="20"/>
      <c r="E694" s="20"/>
      <c r="F694" s="1144" t="s">
        <v>925</v>
      </c>
      <c r="G694" s="142" t="s">
        <v>521</v>
      </c>
      <c r="H694" s="142"/>
      <c r="I694" s="142"/>
      <c r="J694" s="1145"/>
      <c r="K694" s="741"/>
      <c r="L694" s="742"/>
      <c r="M694" s="1570"/>
      <c r="N694" s="2546">
        <f>N695</f>
        <v>0</v>
      </c>
      <c r="O694" s="2541"/>
      <c r="P694" s="2541"/>
      <c r="Q694" s="2547">
        <f>Q695</f>
        <v>0</v>
      </c>
      <c r="R694" s="2548">
        <f>R695</f>
        <v>0</v>
      </c>
      <c r="S694" s="2514"/>
      <c r="T694" s="2514"/>
      <c r="U694" s="2514"/>
      <c r="V694" s="2546">
        <f>V695</f>
        <v>0</v>
      </c>
      <c r="W694" s="2546">
        <f>W695</f>
        <v>0</v>
      </c>
      <c r="X694" s="1"/>
    </row>
    <row r="695" spans="1:24" ht="16.899999999999999" hidden="1" customHeight="1" x14ac:dyDescent="0.3">
      <c r="A695" s="32"/>
      <c r="B695" s="744" t="s">
        <v>39</v>
      </c>
      <c r="C695" s="911"/>
      <c r="D695" s="11"/>
      <c r="E695" s="11"/>
      <c r="F695" s="10" t="s">
        <v>925</v>
      </c>
      <c r="G695" s="9" t="s">
        <v>521</v>
      </c>
      <c r="H695" s="9" t="s">
        <v>463</v>
      </c>
      <c r="I695" s="9" t="s">
        <v>488</v>
      </c>
      <c r="J695" s="1126">
        <f>378.948+114.442</f>
        <v>493.39</v>
      </c>
      <c r="K695" s="30"/>
      <c r="L695" s="29"/>
      <c r="M695" s="1569"/>
      <c r="N695" s="2520">
        <v>0</v>
      </c>
      <c r="O695" s="2541"/>
      <c r="P695" s="2541"/>
      <c r="Q695" s="2543">
        <v>0</v>
      </c>
      <c r="R695" s="2544">
        <v>0</v>
      </c>
      <c r="S695" s="2514"/>
      <c r="T695" s="2514"/>
      <c r="U695" s="2514"/>
      <c r="V695" s="2520">
        <v>0</v>
      </c>
      <c r="W695" s="2520">
        <v>0</v>
      </c>
      <c r="X695" s="1"/>
    </row>
    <row r="696" spans="1:24" ht="24.65" customHeight="1" x14ac:dyDescent="0.3">
      <c r="A696" s="32"/>
      <c r="B696" s="724" t="s">
        <v>532</v>
      </c>
      <c r="C696" s="22"/>
      <c r="D696" s="20"/>
      <c r="E696" s="20"/>
      <c r="F696" s="79" t="s">
        <v>531</v>
      </c>
      <c r="G696" s="142"/>
      <c r="H696" s="142"/>
      <c r="I696" s="142"/>
      <c r="J696" s="1145"/>
      <c r="K696" s="741"/>
      <c r="L696" s="742"/>
      <c r="M696" s="1570"/>
      <c r="N696" s="2965">
        <f>N697</f>
        <v>46.317999999999998</v>
      </c>
      <c r="O696" s="2541"/>
      <c r="P696" s="2541"/>
      <c r="Q696" s="2547"/>
      <c r="R696" s="2548"/>
      <c r="S696" s="2514"/>
      <c r="T696" s="2514"/>
      <c r="U696" s="2514"/>
      <c r="V696" s="2965">
        <f>V697</f>
        <v>0</v>
      </c>
      <c r="W696" s="2965">
        <f>W697</f>
        <v>0</v>
      </c>
      <c r="X696" s="1"/>
    </row>
    <row r="697" spans="1:24" ht="16.899999999999999" customHeight="1" x14ac:dyDescent="0.3">
      <c r="A697" s="32"/>
      <c r="B697" s="724" t="s">
        <v>16</v>
      </c>
      <c r="C697" s="22"/>
      <c r="D697" s="20"/>
      <c r="E697" s="20"/>
      <c r="F697" s="77" t="s">
        <v>531</v>
      </c>
      <c r="G697" s="142" t="s">
        <v>1</v>
      </c>
      <c r="H697" s="142"/>
      <c r="I697" s="142"/>
      <c r="J697" s="1145"/>
      <c r="K697" s="741"/>
      <c r="L697" s="742"/>
      <c r="M697" s="1570"/>
      <c r="N697" s="2546">
        <f>N698</f>
        <v>46.317999999999998</v>
      </c>
      <c r="O697" s="2541"/>
      <c r="P697" s="2541"/>
      <c r="Q697" s="2547"/>
      <c r="R697" s="2548"/>
      <c r="S697" s="2514"/>
      <c r="T697" s="2514"/>
      <c r="U697" s="2514"/>
      <c r="V697" s="2546">
        <f>V698</f>
        <v>0</v>
      </c>
      <c r="W697" s="2546">
        <f>W698</f>
        <v>0</v>
      </c>
      <c r="X697" s="1"/>
    </row>
    <row r="698" spans="1:24" ht="16.899999999999999" customHeight="1" x14ac:dyDescent="0.3">
      <c r="A698" s="32"/>
      <c r="B698" s="744" t="s">
        <v>11</v>
      </c>
      <c r="C698" s="22"/>
      <c r="D698" s="20"/>
      <c r="E698" s="20"/>
      <c r="F698" s="77" t="s">
        <v>531</v>
      </c>
      <c r="G698" s="142" t="s">
        <v>1</v>
      </c>
      <c r="H698" s="142" t="s">
        <v>463</v>
      </c>
      <c r="I698" s="142" t="s">
        <v>456</v>
      </c>
      <c r="J698" s="1145"/>
      <c r="K698" s="741"/>
      <c r="L698" s="742"/>
      <c r="M698" s="1570"/>
      <c r="N698" s="2546">
        <v>46.317999999999998</v>
      </c>
      <c r="O698" s="2541"/>
      <c r="P698" s="2541"/>
      <c r="Q698" s="2547"/>
      <c r="R698" s="2548"/>
      <c r="S698" s="2514"/>
      <c r="T698" s="2514"/>
      <c r="U698" s="2514"/>
      <c r="V698" s="2546">
        <v>0</v>
      </c>
      <c r="W698" s="2546">
        <v>0</v>
      </c>
      <c r="X698" s="1"/>
    </row>
    <row r="699" spans="1:24" ht="25" customHeight="1" x14ac:dyDescent="0.3">
      <c r="A699" s="32"/>
      <c r="B699" s="23" t="s">
        <v>8</v>
      </c>
      <c r="C699" s="22"/>
      <c r="D699" s="20"/>
      <c r="E699" s="20"/>
      <c r="F699" s="21" t="s">
        <v>2</v>
      </c>
      <c r="G699" s="20"/>
      <c r="H699" s="20"/>
      <c r="I699" s="20"/>
      <c r="J699" s="1146">
        <f>J701+J704</f>
        <v>600.79999999999995</v>
      </c>
      <c r="K699" s="1147"/>
      <c r="L699" s="1148">
        <f>L701+L704</f>
        <v>605.88300000000004</v>
      </c>
      <c r="M699" s="1574">
        <f>M701+M704</f>
        <v>605.88300000000004</v>
      </c>
      <c r="N699" s="2968">
        <f>N702+N705</f>
        <v>892</v>
      </c>
      <c r="O699" s="2649"/>
      <c r="P699" s="2649"/>
      <c r="Q699" s="2669">
        <f>Q701+Q704</f>
        <v>844.2</v>
      </c>
      <c r="R699" s="2670">
        <f>R702+R705</f>
        <v>874.4</v>
      </c>
      <c r="S699" s="2590">
        <v>106.9</v>
      </c>
      <c r="T699" s="2590">
        <v>88.4</v>
      </c>
      <c r="U699" s="2590">
        <v>874.4</v>
      </c>
      <c r="V699" s="2968">
        <f>V702+V705</f>
        <v>892</v>
      </c>
      <c r="W699" s="2968">
        <f>W702+W705</f>
        <v>892</v>
      </c>
      <c r="X699" s="1"/>
    </row>
    <row r="700" spans="1:24" ht="24" customHeight="1" x14ac:dyDescent="0.3">
      <c r="A700" s="32"/>
      <c r="B700" s="49" t="s">
        <v>1063</v>
      </c>
      <c r="C700" s="22"/>
      <c r="D700" s="20"/>
      <c r="E700" s="20"/>
      <c r="F700" s="10" t="s">
        <v>2</v>
      </c>
      <c r="G700" s="2422">
        <v>100</v>
      </c>
      <c r="H700" s="20"/>
      <c r="I700" s="20"/>
      <c r="J700" s="1146"/>
      <c r="K700" s="1147"/>
      <c r="L700" s="1148"/>
      <c r="M700" s="1574"/>
      <c r="N700" s="2968">
        <f>N701</f>
        <v>864.7</v>
      </c>
      <c r="O700" s="2649"/>
      <c r="P700" s="2649"/>
      <c r="Q700" s="2669"/>
      <c r="R700" s="2670"/>
      <c r="S700" s="2590"/>
      <c r="T700" s="2590"/>
      <c r="U700" s="2590"/>
      <c r="V700" s="2968">
        <f>V701</f>
        <v>864.7</v>
      </c>
      <c r="W700" s="2968">
        <f>W701</f>
        <v>864.7</v>
      </c>
      <c r="X700" s="1"/>
    </row>
    <row r="701" spans="1:24" ht="16.899999999999999" customHeight="1" x14ac:dyDescent="0.3">
      <c r="A701" s="32"/>
      <c r="B701" s="744" t="s">
        <v>7</v>
      </c>
      <c r="C701" s="911"/>
      <c r="D701" s="11"/>
      <c r="E701" s="11"/>
      <c r="F701" s="10" t="s">
        <v>2</v>
      </c>
      <c r="G701" s="9" t="s">
        <v>5</v>
      </c>
      <c r="H701" s="9"/>
      <c r="I701" s="11"/>
      <c r="J701" s="1063">
        <f>J702</f>
        <v>493.39</v>
      </c>
      <c r="K701" s="1150"/>
      <c r="L701" s="1063">
        <v>555.32000000000005</v>
      </c>
      <c r="M701" s="1125">
        <v>555.32000000000005</v>
      </c>
      <c r="N701" s="2520">
        <f>N702</f>
        <v>864.7</v>
      </c>
      <c r="O701" s="2649"/>
      <c r="P701" s="2649"/>
      <c r="Q701" s="2671">
        <f>Q702</f>
        <v>816.62400000000002</v>
      </c>
      <c r="R701" s="2672">
        <f>R702</f>
        <v>846.82399999999996</v>
      </c>
      <c r="S701" s="2590"/>
      <c r="T701" s="2590"/>
      <c r="U701" s="2590"/>
      <c r="V701" s="2520">
        <f>V702</f>
        <v>864.7</v>
      </c>
      <c r="W701" s="2520">
        <f>W702</f>
        <v>864.7</v>
      </c>
      <c r="X701" s="1"/>
    </row>
    <row r="702" spans="1:24" ht="23.5" customHeight="1" x14ac:dyDescent="0.3">
      <c r="A702" s="32"/>
      <c r="B702" s="744" t="s">
        <v>6</v>
      </c>
      <c r="C702" s="911"/>
      <c r="D702" s="11"/>
      <c r="E702" s="11"/>
      <c r="F702" s="10" t="s">
        <v>2</v>
      </c>
      <c r="G702" s="9" t="s">
        <v>5</v>
      </c>
      <c r="H702" s="9" t="s">
        <v>488</v>
      </c>
      <c r="I702" s="9" t="s">
        <v>495</v>
      </c>
      <c r="J702" s="1063">
        <f>378.948+114.442</f>
        <v>493.39</v>
      </c>
      <c r="K702" s="1150"/>
      <c r="L702" s="1063">
        <v>555.32000000000005</v>
      </c>
      <c r="M702" s="1125">
        <v>555.32000000000005</v>
      </c>
      <c r="N702" s="2520">
        <f>800+64.7</f>
        <v>864.7</v>
      </c>
      <c r="O702" s="2649"/>
      <c r="P702" s="2649"/>
      <c r="Q702" s="2671">
        <v>816.62400000000002</v>
      </c>
      <c r="R702" s="2672">
        <v>846.82399999999996</v>
      </c>
      <c r="S702" s="2590">
        <v>807.13300000000004</v>
      </c>
      <c r="T702" s="2590">
        <v>816.63300000000004</v>
      </c>
      <c r="U702" s="2590">
        <v>846.83299999999997</v>
      </c>
      <c r="V702" s="2520">
        <f>830+34.7</f>
        <v>864.7</v>
      </c>
      <c r="W702" s="2520">
        <v>864.7</v>
      </c>
      <c r="X702" s="1"/>
    </row>
    <row r="703" spans="1:24" ht="23.5" customHeight="1" x14ac:dyDescent="0.25">
      <c r="A703" s="32"/>
      <c r="B703" s="724" t="s">
        <v>948</v>
      </c>
      <c r="C703" s="911"/>
      <c r="D703" s="11"/>
      <c r="E703" s="11"/>
      <c r="F703" s="10" t="s">
        <v>2</v>
      </c>
      <c r="G703" s="9" t="s">
        <v>955</v>
      </c>
      <c r="H703" s="9"/>
      <c r="I703" s="9"/>
      <c r="J703" s="1063"/>
      <c r="K703" s="1150"/>
      <c r="L703" s="1063"/>
      <c r="M703" s="1125"/>
      <c r="N703" s="2520">
        <f>N704</f>
        <v>27.3</v>
      </c>
      <c r="O703" s="2649"/>
      <c r="P703" s="2649"/>
      <c r="Q703" s="2671"/>
      <c r="R703" s="2672"/>
      <c r="S703" s="2590"/>
      <c r="T703" s="2590"/>
      <c r="U703" s="2590"/>
      <c r="V703" s="2520">
        <f t="shared" ref="V703:W703" si="305">V704</f>
        <v>27.3</v>
      </c>
      <c r="W703" s="2520">
        <f t="shared" si="305"/>
        <v>27.3</v>
      </c>
      <c r="X703" s="1"/>
    </row>
    <row r="704" spans="1:24" ht="16.899999999999999" customHeight="1" x14ac:dyDescent="0.3">
      <c r="A704" s="32"/>
      <c r="B704" s="1993" t="s">
        <v>4</v>
      </c>
      <c r="C704" s="911"/>
      <c r="D704" s="11"/>
      <c r="E704" s="11"/>
      <c r="F704" s="10" t="s">
        <v>2</v>
      </c>
      <c r="G704" s="9" t="s">
        <v>1</v>
      </c>
      <c r="H704" s="9"/>
      <c r="I704" s="9"/>
      <c r="J704" s="1142">
        <f>J705</f>
        <v>107.41</v>
      </c>
      <c r="K704" s="1150"/>
      <c r="L704" s="1150">
        <v>50.563000000000002</v>
      </c>
      <c r="M704" s="1575">
        <v>50.563000000000002</v>
      </c>
      <c r="N704" s="2961">
        <f>N705</f>
        <v>27.3</v>
      </c>
      <c r="O704" s="2649"/>
      <c r="P704" s="2649"/>
      <c r="Q704" s="2673">
        <f>Q705</f>
        <v>27.576000000000001</v>
      </c>
      <c r="R704" s="2674">
        <f>R705</f>
        <v>27.576000000000001</v>
      </c>
      <c r="S704" s="2590"/>
      <c r="T704" s="2590"/>
      <c r="U704" s="2590">
        <v>27.567</v>
      </c>
      <c r="V704" s="2961">
        <f>V705</f>
        <v>27.3</v>
      </c>
      <c r="W704" s="2961">
        <f>W705</f>
        <v>27.3</v>
      </c>
      <c r="X704" s="1"/>
    </row>
    <row r="705" spans="1:24" ht="22" customHeight="1" x14ac:dyDescent="0.25">
      <c r="A705" s="32"/>
      <c r="B705" s="754" t="s">
        <v>3</v>
      </c>
      <c r="C705" s="911"/>
      <c r="D705" s="11"/>
      <c r="E705" s="11"/>
      <c r="F705" s="10" t="s">
        <v>2</v>
      </c>
      <c r="G705" s="9" t="s">
        <v>1</v>
      </c>
      <c r="H705" s="9" t="s">
        <v>488</v>
      </c>
      <c r="I705" s="9" t="s">
        <v>495</v>
      </c>
      <c r="J705" s="1063">
        <f>86.41+21</f>
        <v>107.41</v>
      </c>
      <c r="K705" s="1150"/>
      <c r="L705" s="1150">
        <v>50.563000000000002</v>
      </c>
      <c r="M705" s="1575">
        <v>50.563000000000002</v>
      </c>
      <c r="N705" s="2520">
        <f>14.8+12.5</f>
        <v>27.3</v>
      </c>
      <c r="O705" s="2649"/>
      <c r="P705" s="2649"/>
      <c r="Q705" s="2672">
        <v>27.576000000000001</v>
      </c>
      <c r="R705" s="2672">
        <v>27.576000000000001</v>
      </c>
      <c r="S705" s="2590"/>
      <c r="T705" s="2590"/>
      <c r="U705" s="2590"/>
      <c r="V705" s="2520">
        <v>27.3</v>
      </c>
      <c r="W705" s="2520">
        <v>27.3</v>
      </c>
      <c r="X705" s="1"/>
    </row>
    <row r="706" spans="1:24" ht="16.899999999999999" hidden="1" customHeight="1" x14ac:dyDescent="0.25">
      <c r="A706" s="32"/>
      <c r="B706" s="1151" t="s">
        <v>1107</v>
      </c>
      <c r="C706" s="142"/>
      <c r="D706" s="143"/>
      <c r="E706" s="142"/>
      <c r="F706" s="946" t="s">
        <v>1106</v>
      </c>
      <c r="G706" s="143"/>
      <c r="H706" s="143"/>
      <c r="I706" s="142"/>
      <c r="J706" s="1103"/>
      <c r="K706" s="1103"/>
      <c r="L706" s="1103"/>
      <c r="M706" s="1124"/>
      <c r="N706" s="2965">
        <f>N707</f>
        <v>0</v>
      </c>
      <c r="O706" s="2649"/>
      <c r="P706" s="2649"/>
      <c r="Q706" s="2675"/>
      <c r="R706" s="2676"/>
      <c r="S706" s="2590"/>
      <c r="T706" s="2590"/>
      <c r="U706" s="2590"/>
      <c r="V706" s="2965">
        <f>V707</f>
        <v>0</v>
      </c>
      <c r="W706" s="2965">
        <f>W707</f>
        <v>0</v>
      </c>
      <c r="X706" s="1"/>
    </row>
    <row r="707" spans="1:24" ht="16.899999999999999" hidden="1" customHeight="1" x14ac:dyDescent="0.3">
      <c r="A707" s="32"/>
      <c r="B707" s="1993" t="s">
        <v>4</v>
      </c>
      <c r="C707" s="89"/>
      <c r="D707" s="9" t="s">
        <v>52</v>
      </c>
      <c r="E707" s="9" t="s">
        <v>58</v>
      </c>
      <c r="F707" s="9" t="s">
        <v>1106</v>
      </c>
      <c r="G707" s="88">
        <v>240</v>
      </c>
      <c r="H707" s="88"/>
      <c r="I707" s="1063"/>
      <c r="J707" s="1061"/>
      <c r="K707" s="1063"/>
      <c r="L707" s="1063"/>
      <c r="M707" s="84"/>
      <c r="N707" s="2520">
        <f>N708</f>
        <v>0</v>
      </c>
      <c r="O707" s="2649"/>
      <c r="P707" s="2649"/>
      <c r="Q707" s="2671"/>
      <c r="R707" s="2672"/>
      <c r="S707" s="2590"/>
      <c r="T707" s="2590"/>
      <c r="U707" s="2590"/>
      <c r="V707" s="2520">
        <f>V708</f>
        <v>0</v>
      </c>
      <c r="W707" s="2520">
        <f>W708</f>
        <v>0</v>
      </c>
      <c r="X707" s="1"/>
    </row>
    <row r="708" spans="1:24" ht="13" hidden="1" x14ac:dyDescent="0.3">
      <c r="A708" s="32"/>
      <c r="B708" s="90" t="s">
        <v>34</v>
      </c>
      <c r="C708" s="89"/>
      <c r="D708" s="9"/>
      <c r="E708" s="9"/>
      <c r="F708" s="9" t="s">
        <v>1106</v>
      </c>
      <c r="G708" s="88">
        <v>240</v>
      </c>
      <c r="H708" s="9" t="s">
        <v>463</v>
      </c>
      <c r="I708" s="9" t="s">
        <v>495</v>
      </c>
      <c r="J708" s="1061"/>
      <c r="K708" s="1063"/>
      <c r="L708" s="1063"/>
      <c r="M708" s="84"/>
      <c r="N708" s="2520"/>
      <c r="O708" s="2649"/>
      <c r="P708" s="2649"/>
      <c r="Q708" s="2671"/>
      <c r="R708" s="2672"/>
      <c r="S708" s="2590"/>
      <c r="T708" s="2590"/>
      <c r="U708" s="2590"/>
      <c r="V708" s="2520">
        <v>0</v>
      </c>
      <c r="W708" s="2520">
        <v>0</v>
      </c>
      <c r="X708" s="1"/>
    </row>
    <row r="709" spans="1:24" ht="39" hidden="1" x14ac:dyDescent="0.3">
      <c r="A709" s="844"/>
      <c r="B709" s="1954" t="s">
        <v>1004</v>
      </c>
      <c r="C709" s="735"/>
      <c r="D709" s="77"/>
      <c r="E709" s="77"/>
      <c r="F709" s="34" t="s">
        <v>1005</v>
      </c>
      <c r="G709" s="9"/>
      <c r="H709" s="9"/>
      <c r="I709" s="656"/>
      <c r="J709" s="30"/>
      <c r="K709" s="29"/>
      <c r="L709" s="527"/>
      <c r="M709" s="1576">
        <f>M710</f>
        <v>139.6</v>
      </c>
      <c r="N709" s="2549">
        <f>N710</f>
        <v>0</v>
      </c>
      <c r="O709" s="2649"/>
      <c r="P709" s="2649"/>
      <c r="Q709" s="2677">
        <f>Q710</f>
        <v>0</v>
      </c>
      <c r="R709" s="2678">
        <f>R710</f>
        <v>0</v>
      </c>
      <c r="S709" s="2590"/>
      <c r="T709" s="2590"/>
      <c r="U709" s="2590"/>
      <c r="V709" s="2549">
        <f>V710</f>
        <v>0</v>
      </c>
      <c r="W709" s="2549">
        <f>W710</f>
        <v>0</v>
      </c>
      <c r="X709" s="1"/>
    </row>
    <row r="710" spans="1:24" ht="16.899999999999999" hidden="1" customHeight="1" x14ac:dyDescent="0.3">
      <c r="A710" s="845"/>
      <c r="B710" s="744" t="s">
        <v>7</v>
      </c>
      <c r="C710" s="738"/>
      <c r="D710" s="2422"/>
      <c r="E710" s="2422"/>
      <c r="F710" s="142" t="s">
        <v>1005</v>
      </c>
      <c r="G710" s="142" t="s">
        <v>5</v>
      </c>
      <c r="H710" s="142"/>
      <c r="I710" s="740"/>
      <c r="J710" s="741"/>
      <c r="K710" s="742"/>
      <c r="L710" s="64"/>
      <c r="M710" s="1577">
        <f>M711</f>
        <v>139.6</v>
      </c>
      <c r="N710" s="2520">
        <f>N711</f>
        <v>0</v>
      </c>
      <c r="O710" s="2649"/>
      <c r="P710" s="2649"/>
      <c r="Q710" s="2679">
        <f>Q711</f>
        <v>0</v>
      </c>
      <c r="R710" s="2672">
        <f>R711</f>
        <v>0</v>
      </c>
      <c r="S710" s="2590"/>
      <c r="T710" s="2590"/>
      <c r="U710" s="2590"/>
      <c r="V710" s="2520">
        <f>V711</f>
        <v>0</v>
      </c>
      <c r="W710" s="2520">
        <f>W711</f>
        <v>0</v>
      </c>
      <c r="X710" s="1"/>
    </row>
    <row r="711" spans="1:24" ht="12.75" hidden="1" customHeight="1" x14ac:dyDescent="0.3">
      <c r="A711" s="844"/>
      <c r="B711" s="744" t="s">
        <v>93</v>
      </c>
      <c r="C711" s="735"/>
      <c r="D711" s="77"/>
      <c r="E711" s="77"/>
      <c r="F711" s="9" t="s">
        <v>1005</v>
      </c>
      <c r="G711" s="9" t="s">
        <v>5</v>
      </c>
      <c r="H711" s="9" t="s">
        <v>456</v>
      </c>
      <c r="I711" s="9" t="s">
        <v>573</v>
      </c>
      <c r="J711" s="30"/>
      <c r="K711" s="29"/>
      <c r="L711" s="28"/>
      <c r="M711" s="1558">
        <v>139.6</v>
      </c>
      <c r="N711" s="2520"/>
      <c r="O711" s="2649"/>
      <c r="P711" s="2649"/>
      <c r="Q711" s="2679"/>
      <c r="R711" s="2672"/>
      <c r="S711" s="2590"/>
      <c r="T711" s="2590"/>
      <c r="U711" s="2590"/>
      <c r="V711" s="2520"/>
      <c r="W711" s="2520"/>
      <c r="X711" s="1"/>
    </row>
    <row r="712" spans="1:24" ht="13" hidden="1" x14ac:dyDescent="0.3">
      <c r="A712" s="844"/>
      <c r="B712" s="1894" t="s">
        <v>830</v>
      </c>
      <c r="C712" s="735"/>
      <c r="D712" s="77"/>
      <c r="E712" s="77"/>
      <c r="F712" s="34" t="s">
        <v>958</v>
      </c>
      <c r="G712" s="9"/>
      <c r="H712" s="9"/>
      <c r="I712" s="9"/>
      <c r="J712" s="1434"/>
      <c r="K712" s="29"/>
      <c r="L712" s="28"/>
      <c r="M712" s="1558"/>
      <c r="N712" s="2520">
        <f>N713</f>
        <v>0</v>
      </c>
      <c r="O712" s="2649"/>
      <c r="P712" s="2649"/>
      <c r="Q712" s="2679">
        <f>Q713</f>
        <v>0</v>
      </c>
      <c r="R712" s="2672">
        <f>R713</f>
        <v>0</v>
      </c>
      <c r="S712" s="2590"/>
      <c r="T712" s="2590"/>
      <c r="U712" s="2590"/>
      <c r="V712" s="2520">
        <f>V713</f>
        <v>0</v>
      </c>
      <c r="W712" s="2520">
        <f>W713</f>
        <v>0</v>
      </c>
      <c r="X712" s="1"/>
    </row>
    <row r="713" spans="1:24" ht="13" hidden="1" x14ac:dyDescent="0.3">
      <c r="A713" s="844"/>
      <c r="B713" s="737" t="s">
        <v>256</v>
      </c>
      <c r="C713" s="735"/>
      <c r="D713" s="77"/>
      <c r="E713" s="77"/>
      <c r="F713" s="9" t="s">
        <v>958</v>
      </c>
      <c r="G713" s="9" t="s">
        <v>255</v>
      </c>
      <c r="H713" s="9"/>
      <c r="I713" s="9"/>
      <c r="J713" s="1434"/>
      <c r="K713" s="29"/>
      <c r="L713" s="28"/>
      <c r="M713" s="1558"/>
      <c r="N713" s="2520">
        <f>N714</f>
        <v>0</v>
      </c>
      <c r="O713" s="2649"/>
      <c r="P713" s="2649"/>
      <c r="Q713" s="2679">
        <f>Q714</f>
        <v>0</v>
      </c>
      <c r="R713" s="2672">
        <f>R714</f>
        <v>0</v>
      </c>
      <c r="S713" s="2590"/>
      <c r="T713" s="2590"/>
      <c r="U713" s="2590"/>
      <c r="V713" s="2520">
        <f>V714</f>
        <v>0</v>
      </c>
      <c r="W713" s="2520">
        <f>W714</f>
        <v>0</v>
      </c>
      <c r="X713" s="1"/>
    </row>
    <row r="714" spans="1:24" ht="13" hidden="1" x14ac:dyDescent="0.3">
      <c r="A714" s="844"/>
      <c r="B714" s="744" t="s">
        <v>87</v>
      </c>
      <c r="C714" s="735"/>
      <c r="D714" s="77"/>
      <c r="E714" s="77"/>
      <c r="F714" s="9" t="s">
        <v>958</v>
      </c>
      <c r="G714" s="9" t="s">
        <v>255</v>
      </c>
      <c r="H714" s="9" t="s">
        <v>453</v>
      </c>
      <c r="I714" s="9" t="s">
        <v>456</v>
      </c>
      <c r="J714" s="1434"/>
      <c r="K714" s="29"/>
      <c r="L714" s="28"/>
      <c r="M714" s="1558"/>
      <c r="N714" s="2520"/>
      <c r="O714" s="2649"/>
      <c r="P714" s="2649"/>
      <c r="Q714" s="2679"/>
      <c r="R714" s="2672"/>
      <c r="S714" s="2590"/>
      <c r="T714" s="2590"/>
      <c r="U714" s="2590"/>
      <c r="V714" s="2520"/>
      <c r="W714" s="2520"/>
      <c r="X714" s="1"/>
    </row>
    <row r="715" spans="1:24" ht="24.65" customHeight="1" x14ac:dyDescent="0.3">
      <c r="A715" s="844"/>
      <c r="B715" s="2012" t="s">
        <v>1011</v>
      </c>
      <c r="C715" s="735"/>
      <c r="D715" s="77"/>
      <c r="E715" s="77"/>
      <c r="F715" s="37" t="s">
        <v>1175</v>
      </c>
      <c r="G715" s="9"/>
      <c r="H715" s="9"/>
      <c r="I715" s="9"/>
      <c r="J715" s="1434"/>
      <c r="K715" s="29"/>
      <c r="L715" s="28"/>
      <c r="M715" s="1558"/>
      <c r="N715" s="2520">
        <f>N716</f>
        <v>330</v>
      </c>
      <c r="O715" s="2649"/>
      <c r="P715" s="2649"/>
      <c r="Q715" s="2679"/>
      <c r="R715" s="2672"/>
      <c r="S715" s="2590"/>
      <c r="T715" s="2590"/>
      <c r="U715" s="2590"/>
      <c r="V715" s="2520">
        <f t="shared" ref="V715:W717" si="306">V716</f>
        <v>0</v>
      </c>
      <c r="W715" s="2520">
        <f t="shared" si="306"/>
        <v>0</v>
      </c>
      <c r="X715" s="1"/>
    </row>
    <row r="716" spans="1:24" ht="26" x14ac:dyDescent="0.3">
      <c r="A716" s="844"/>
      <c r="B716" s="724" t="s">
        <v>948</v>
      </c>
      <c r="C716" s="735"/>
      <c r="D716" s="77"/>
      <c r="E716" s="77"/>
      <c r="F716" s="10" t="s">
        <v>1175</v>
      </c>
      <c r="G716" s="9" t="s">
        <v>955</v>
      </c>
      <c r="H716" s="9"/>
      <c r="I716" s="9"/>
      <c r="J716" s="1434"/>
      <c r="K716" s="29"/>
      <c r="L716" s="28"/>
      <c r="M716" s="1558"/>
      <c r="N716" s="2520">
        <f>N717</f>
        <v>330</v>
      </c>
      <c r="O716" s="2649"/>
      <c r="P716" s="2649"/>
      <c r="Q716" s="2679"/>
      <c r="R716" s="2672"/>
      <c r="S716" s="2590"/>
      <c r="T716" s="2590"/>
      <c r="U716" s="2590"/>
      <c r="V716" s="2520">
        <f t="shared" si="306"/>
        <v>0</v>
      </c>
      <c r="W716" s="2520">
        <f t="shared" si="306"/>
        <v>0</v>
      </c>
      <c r="X716" s="1"/>
    </row>
    <row r="717" spans="1:24" ht="26" x14ac:dyDescent="0.3">
      <c r="A717" s="844"/>
      <c r="B717" s="1993" t="s">
        <v>4</v>
      </c>
      <c r="C717" s="735"/>
      <c r="D717" s="77"/>
      <c r="E717" s="77"/>
      <c r="F717" s="10" t="s">
        <v>1175</v>
      </c>
      <c r="G717" s="9" t="s">
        <v>1</v>
      </c>
      <c r="H717" s="9"/>
      <c r="I717" s="9"/>
      <c r="J717" s="1434"/>
      <c r="K717" s="29"/>
      <c r="L717" s="28"/>
      <c r="M717" s="1558"/>
      <c r="N717" s="2520">
        <f>N718</f>
        <v>330</v>
      </c>
      <c r="O717" s="2649"/>
      <c r="P717" s="2649"/>
      <c r="Q717" s="2679"/>
      <c r="R717" s="2672"/>
      <c r="S717" s="2590"/>
      <c r="T717" s="2590"/>
      <c r="U717" s="2590"/>
      <c r="V717" s="2520">
        <f t="shared" si="306"/>
        <v>0</v>
      </c>
      <c r="W717" s="2520">
        <f t="shared" si="306"/>
        <v>0</v>
      </c>
      <c r="X717" s="1"/>
    </row>
    <row r="718" spans="1:24" ht="13" x14ac:dyDescent="0.3">
      <c r="A718" s="844"/>
      <c r="B718" s="744" t="s">
        <v>530</v>
      </c>
      <c r="C718" s="735"/>
      <c r="D718" s="77"/>
      <c r="E718" s="77"/>
      <c r="F718" s="10" t="s">
        <v>1175</v>
      </c>
      <c r="G718" s="9" t="s">
        <v>1</v>
      </c>
      <c r="H718" s="9" t="s">
        <v>463</v>
      </c>
      <c r="I718" s="9" t="s">
        <v>488</v>
      </c>
      <c r="J718" s="1434"/>
      <c r="K718" s="29"/>
      <c r="L718" s="28"/>
      <c r="M718" s="1558"/>
      <c r="N718" s="2520">
        <v>330</v>
      </c>
      <c r="O718" s="2649"/>
      <c r="P718" s="2649"/>
      <c r="Q718" s="2679"/>
      <c r="R718" s="2672"/>
      <c r="S718" s="2590"/>
      <c r="T718" s="2590"/>
      <c r="U718" s="2590"/>
      <c r="V718" s="2520">
        <v>0</v>
      </c>
      <c r="W718" s="2520">
        <v>0</v>
      </c>
      <c r="X718" s="1"/>
    </row>
    <row r="719" spans="1:24" ht="26.15" hidden="1" customHeight="1" x14ac:dyDescent="0.3">
      <c r="A719" s="844"/>
      <c r="B719" s="2012" t="s">
        <v>1192</v>
      </c>
      <c r="C719" s="735"/>
      <c r="D719" s="77"/>
      <c r="E719" s="77"/>
      <c r="F719" s="34" t="s">
        <v>524</v>
      </c>
      <c r="G719" s="9"/>
      <c r="H719" s="142"/>
      <c r="I719" s="142"/>
      <c r="J719" s="1434"/>
      <c r="K719" s="29"/>
      <c r="L719" s="28"/>
      <c r="M719" s="1558"/>
      <c r="N719" s="2549">
        <f>N720+N725</f>
        <v>0</v>
      </c>
      <c r="O719" s="2541"/>
      <c r="P719" s="2541"/>
      <c r="Q719" s="2668"/>
      <c r="R719" s="2544"/>
      <c r="S719" s="2514"/>
      <c r="T719" s="2514"/>
      <c r="U719" s="2514"/>
      <c r="V719" s="2520">
        <f t="shared" ref="V719:W721" si="307">V720</f>
        <v>0</v>
      </c>
      <c r="W719" s="2520">
        <f t="shared" si="307"/>
        <v>0</v>
      </c>
      <c r="X719" s="1"/>
    </row>
    <row r="720" spans="1:24" ht="26" hidden="1" x14ac:dyDescent="0.3">
      <c r="A720" s="844"/>
      <c r="B720" s="724" t="s">
        <v>948</v>
      </c>
      <c r="C720" s="735"/>
      <c r="D720" s="77"/>
      <c r="E720" s="77"/>
      <c r="F720" s="10" t="s">
        <v>524</v>
      </c>
      <c r="G720" s="9" t="s">
        <v>955</v>
      </c>
      <c r="H720" s="142"/>
      <c r="I720" s="142"/>
      <c r="J720" s="1434"/>
      <c r="K720" s="29"/>
      <c r="L720" s="28"/>
      <c r="M720" s="1558"/>
      <c r="N720" s="2520">
        <f>N721</f>
        <v>0</v>
      </c>
      <c r="O720" s="2541"/>
      <c r="P720" s="2541"/>
      <c r="Q720" s="2668"/>
      <c r="R720" s="2544"/>
      <c r="S720" s="2514"/>
      <c r="T720" s="2514"/>
      <c r="U720" s="2514"/>
      <c r="V720" s="2520">
        <f t="shared" si="307"/>
        <v>0</v>
      </c>
      <c r="W720" s="2520">
        <f t="shared" si="307"/>
        <v>0</v>
      </c>
      <c r="X720" s="1"/>
    </row>
    <row r="721" spans="1:24" ht="26" hidden="1" x14ac:dyDescent="0.3">
      <c r="A721" s="844"/>
      <c r="B721" s="1993" t="s">
        <v>4</v>
      </c>
      <c r="C721" s="735"/>
      <c r="D721" s="77"/>
      <c r="E721" s="77"/>
      <c r="F721" s="10" t="s">
        <v>524</v>
      </c>
      <c r="G721" s="9" t="s">
        <v>1</v>
      </c>
      <c r="H721" s="142"/>
      <c r="I721" s="142"/>
      <c r="J721" s="1434"/>
      <c r="K721" s="29"/>
      <c r="L721" s="28"/>
      <c r="M721" s="1558"/>
      <c r="N721" s="2520">
        <f>N722</f>
        <v>0</v>
      </c>
      <c r="O721" s="2541"/>
      <c r="P721" s="2541"/>
      <c r="Q721" s="2668"/>
      <c r="R721" s="2544"/>
      <c r="S721" s="2514"/>
      <c r="T721" s="2514"/>
      <c r="U721" s="2514"/>
      <c r="V721" s="2520">
        <f t="shared" si="307"/>
        <v>0</v>
      </c>
      <c r="W721" s="2520">
        <f t="shared" si="307"/>
        <v>0</v>
      </c>
      <c r="X721" s="1"/>
    </row>
    <row r="722" spans="1:24" ht="13" hidden="1" x14ac:dyDescent="0.3">
      <c r="A722" s="844"/>
      <c r="B722" s="744" t="s">
        <v>530</v>
      </c>
      <c r="C722" s="735"/>
      <c r="D722" s="77"/>
      <c r="E722" s="77"/>
      <c r="F722" s="10" t="s">
        <v>524</v>
      </c>
      <c r="G722" s="9" t="s">
        <v>1</v>
      </c>
      <c r="H722" s="142" t="s">
        <v>463</v>
      </c>
      <c r="I722" s="142" t="s">
        <v>488</v>
      </c>
      <c r="J722" s="1434"/>
      <c r="K722" s="29"/>
      <c r="L722" s="28"/>
      <c r="M722" s="1558"/>
      <c r="N722" s="2520">
        <v>0</v>
      </c>
      <c r="O722" s="2541"/>
      <c r="P722" s="2541"/>
      <c r="Q722" s="2668"/>
      <c r="R722" s="2544"/>
      <c r="S722" s="2514"/>
      <c r="T722" s="2514"/>
      <c r="U722" s="2514"/>
      <c r="V722" s="2520">
        <v>0</v>
      </c>
      <c r="W722" s="2520">
        <v>0</v>
      </c>
      <c r="X722" s="1"/>
    </row>
    <row r="723" spans="1:24" ht="13" hidden="1" x14ac:dyDescent="0.3">
      <c r="A723" s="844"/>
      <c r="B723" s="2354" t="s">
        <v>1065</v>
      </c>
      <c r="C723" s="735"/>
      <c r="D723" s="77"/>
      <c r="E723" s="77"/>
      <c r="F723" s="10" t="s">
        <v>524</v>
      </c>
      <c r="G723" s="9" t="s">
        <v>1064</v>
      </c>
      <c r="H723" s="142"/>
      <c r="I723" s="142"/>
      <c r="J723" s="1434"/>
      <c r="K723" s="29"/>
      <c r="L723" s="28"/>
      <c r="M723" s="1558"/>
      <c r="N723" s="2520">
        <f>N724</f>
        <v>0</v>
      </c>
      <c r="O723" s="2541"/>
      <c r="P723" s="2541"/>
      <c r="Q723" s="2668"/>
      <c r="R723" s="2544"/>
      <c r="S723" s="2514"/>
      <c r="T723" s="2514"/>
      <c r="U723" s="2514"/>
      <c r="V723" s="2520">
        <f>V724</f>
        <v>0</v>
      </c>
      <c r="W723" s="2520">
        <f>W724</f>
        <v>0</v>
      </c>
      <c r="X723" s="1"/>
    </row>
    <row r="724" spans="1:24" ht="13" hidden="1" x14ac:dyDescent="0.3">
      <c r="A724" s="844"/>
      <c r="B724" s="744" t="s">
        <v>97</v>
      </c>
      <c r="C724" s="735"/>
      <c r="D724" s="77"/>
      <c r="E724" s="77"/>
      <c r="F724" s="10" t="s">
        <v>524</v>
      </c>
      <c r="G724" s="9" t="s">
        <v>95</v>
      </c>
      <c r="H724" s="142"/>
      <c r="I724" s="142"/>
      <c r="J724" s="1434"/>
      <c r="K724" s="29"/>
      <c r="L724" s="28"/>
      <c r="M724" s="1558"/>
      <c r="N724" s="2520">
        <f>N725</f>
        <v>0</v>
      </c>
      <c r="O724" s="2541"/>
      <c r="P724" s="2541"/>
      <c r="Q724" s="2668"/>
      <c r="R724" s="2544"/>
      <c r="S724" s="2514"/>
      <c r="T724" s="2514"/>
      <c r="U724" s="2514"/>
      <c r="V724" s="2520">
        <f>V725</f>
        <v>0</v>
      </c>
      <c r="W724" s="2520">
        <f>W725</f>
        <v>0</v>
      </c>
      <c r="X724" s="1"/>
    </row>
    <row r="725" spans="1:24" ht="13" hidden="1" x14ac:dyDescent="0.3">
      <c r="A725" s="844"/>
      <c r="B725" s="744" t="s">
        <v>530</v>
      </c>
      <c r="C725" s="735"/>
      <c r="D725" s="77"/>
      <c r="E725" s="77"/>
      <c r="F725" s="10" t="s">
        <v>524</v>
      </c>
      <c r="G725" s="9" t="s">
        <v>95</v>
      </c>
      <c r="H725" s="142" t="s">
        <v>463</v>
      </c>
      <c r="I725" s="142" t="s">
        <v>488</v>
      </c>
      <c r="J725" s="1434"/>
      <c r="K725" s="29"/>
      <c r="L725" s="28"/>
      <c r="M725" s="1558"/>
      <c r="N725" s="2520">
        <v>0</v>
      </c>
      <c r="O725" s="2541"/>
      <c r="P725" s="2541"/>
      <c r="Q725" s="2668"/>
      <c r="R725" s="2544"/>
      <c r="S725" s="2514"/>
      <c r="T725" s="2514"/>
      <c r="U725" s="2514"/>
      <c r="V725" s="2520">
        <v>0</v>
      </c>
      <c r="W725" s="2520">
        <v>0</v>
      </c>
      <c r="X725" s="1"/>
    </row>
    <row r="726" spans="1:24" ht="13" x14ac:dyDescent="0.3">
      <c r="A726" s="32"/>
      <c r="B726" s="2124" t="s">
        <v>12</v>
      </c>
      <c r="C726" s="31"/>
      <c r="D726" s="9"/>
      <c r="E726" s="9"/>
      <c r="F726" s="34" t="s">
        <v>10</v>
      </c>
      <c r="G726" s="33"/>
      <c r="H726" s="2334"/>
      <c r="I726" s="142"/>
      <c r="J726" s="28">
        <f>J728</f>
        <v>1109.2180000000001</v>
      </c>
      <c r="K726" s="30"/>
      <c r="L726" s="29"/>
      <c r="M726" s="1569"/>
      <c r="N726" s="2969">
        <f>N728</f>
        <v>1061.127</v>
      </c>
      <c r="O726" s="2680">
        <f>O728</f>
        <v>799.11500000000001</v>
      </c>
      <c r="P726" s="2680">
        <f>P728</f>
        <v>895.01</v>
      </c>
      <c r="Q726" s="2681">
        <f>Q728</f>
        <v>947.01</v>
      </c>
      <c r="R726" s="2682">
        <f>R728</f>
        <v>947.01</v>
      </c>
      <c r="S726" s="2591"/>
      <c r="T726" s="2591"/>
      <c r="U726" s="2591"/>
      <c r="V726" s="2969">
        <f>V728</f>
        <v>860.798</v>
      </c>
      <c r="W726" s="2969">
        <f>W728</f>
        <v>860.798</v>
      </c>
      <c r="X726" s="1"/>
    </row>
    <row r="727" spans="1:24" ht="26" x14ac:dyDescent="0.3">
      <c r="A727" s="32"/>
      <c r="B727" s="724" t="s">
        <v>948</v>
      </c>
      <c r="C727" s="31"/>
      <c r="D727" s="9"/>
      <c r="E727" s="9"/>
      <c r="F727" s="9" t="s">
        <v>10</v>
      </c>
      <c r="G727" s="33" t="s">
        <v>955</v>
      </c>
      <c r="H727" s="33"/>
      <c r="I727" s="9"/>
      <c r="J727" s="28"/>
      <c r="K727" s="30"/>
      <c r="L727" s="29"/>
      <c r="M727" s="1569"/>
      <c r="N727" s="2959">
        <f>N728</f>
        <v>1061.127</v>
      </c>
      <c r="O727" s="2680"/>
      <c r="P727" s="2680"/>
      <c r="Q727" s="2681"/>
      <c r="R727" s="2682"/>
      <c r="S727" s="2591"/>
      <c r="T727" s="2591"/>
      <c r="U727" s="2591"/>
      <c r="V727" s="2959">
        <f t="shared" ref="V727:W727" si="308">V728</f>
        <v>860.798</v>
      </c>
      <c r="W727" s="2959">
        <f t="shared" si="308"/>
        <v>860.798</v>
      </c>
      <c r="X727" s="1"/>
    </row>
    <row r="728" spans="1:24" ht="26" x14ac:dyDescent="0.3">
      <c r="A728" s="32"/>
      <c r="B728" s="1993" t="s">
        <v>4</v>
      </c>
      <c r="C728" s="31"/>
      <c r="D728" s="9"/>
      <c r="E728" s="9"/>
      <c r="F728" s="9" t="s">
        <v>10</v>
      </c>
      <c r="G728" s="9" t="s">
        <v>1</v>
      </c>
      <c r="H728" s="9"/>
      <c r="I728" s="9"/>
      <c r="J728" s="28">
        <f>J729</f>
        <v>1109.2180000000001</v>
      </c>
      <c r="K728" s="30"/>
      <c r="L728" s="29"/>
      <c r="M728" s="1569"/>
      <c r="N728" s="2959">
        <f t="shared" ref="N728:R728" si="309">N729</f>
        <v>1061.127</v>
      </c>
      <c r="O728" s="2680">
        <f t="shared" si="309"/>
        <v>799.11500000000001</v>
      </c>
      <c r="P728" s="2680">
        <f t="shared" si="309"/>
        <v>895.01</v>
      </c>
      <c r="Q728" s="2683">
        <f t="shared" si="309"/>
        <v>947.01</v>
      </c>
      <c r="R728" s="2684">
        <f t="shared" si="309"/>
        <v>947.01</v>
      </c>
      <c r="S728" s="2591"/>
      <c r="T728" s="2591"/>
      <c r="U728" s="2591"/>
      <c r="V728" s="2959">
        <f t="shared" ref="V728:W728" si="310">V729</f>
        <v>860.798</v>
      </c>
      <c r="W728" s="2959">
        <f t="shared" si="310"/>
        <v>860.798</v>
      </c>
      <c r="X728" s="1"/>
    </row>
    <row r="729" spans="1:24" ht="13.5" thickBot="1" x14ac:dyDescent="0.35">
      <c r="A729" s="26"/>
      <c r="B729" s="1488" t="s">
        <v>11</v>
      </c>
      <c r="C729" s="1778"/>
      <c r="D729" s="25"/>
      <c r="E729" s="25"/>
      <c r="F729" s="25" t="s">
        <v>10</v>
      </c>
      <c r="G729" s="25" t="s">
        <v>1</v>
      </c>
      <c r="H729" s="25" t="s">
        <v>463</v>
      </c>
      <c r="I729" s="25" t="s">
        <v>456</v>
      </c>
      <c r="J729" s="1779">
        <v>1109.2180000000001</v>
      </c>
      <c r="K729" s="1780"/>
      <c r="L729" s="1492"/>
      <c r="M729" s="1781"/>
      <c r="N729" s="2970">
        <f>860.797+200.33</f>
        <v>1061.127</v>
      </c>
      <c r="O729" s="2685">
        <v>799.11500000000001</v>
      </c>
      <c r="P729" s="2686">
        <v>895.01</v>
      </c>
      <c r="Q729" s="2687">
        <v>947.01</v>
      </c>
      <c r="R729" s="2688">
        <v>947.01</v>
      </c>
      <c r="S729" s="2591"/>
      <c r="T729" s="2591"/>
      <c r="U729" s="2591"/>
      <c r="V729" s="2970">
        <v>860.798</v>
      </c>
      <c r="W729" s="2970">
        <v>860.798</v>
      </c>
    </row>
    <row r="730" spans="1:24" ht="26" hidden="1" x14ac:dyDescent="0.3">
      <c r="A730" s="145"/>
      <c r="B730" s="23" t="s">
        <v>8</v>
      </c>
      <c r="C730" s="22"/>
      <c r="D730" s="20"/>
      <c r="E730" s="20"/>
      <c r="F730" s="21" t="s">
        <v>2</v>
      </c>
      <c r="G730" s="20"/>
      <c r="H730" s="20"/>
      <c r="I730" s="20"/>
      <c r="J730" s="1146">
        <f>J731+J733</f>
        <v>600.79999999999995</v>
      </c>
      <c r="K730" s="1147"/>
      <c r="L730" s="1148">
        <f t="shared" ref="L730:R730" si="311">L731+L733</f>
        <v>605.88300000000004</v>
      </c>
      <c r="M730" s="1148">
        <f t="shared" si="311"/>
        <v>605.88300000000004</v>
      </c>
      <c r="N730" s="2130">
        <f t="shared" si="311"/>
        <v>0</v>
      </c>
      <c r="O730" s="2131">
        <f t="shared" si="311"/>
        <v>600.79999999999995</v>
      </c>
      <c r="P730" s="2132">
        <f t="shared" si="311"/>
        <v>600.79999999999995</v>
      </c>
      <c r="Q730" s="2133">
        <f t="shared" si="311"/>
        <v>0</v>
      </c>
      <c r="R730" s="2133">
        <f t="shared" si="311"/>
        <v>0</v>
      </c>
      <c r="V730" s="2130">
        <f t="shared" ref="V730:W730" si="312">V731+V733</f>
        <v>0</v>
      </c>
      <c r="W730" s="2130">
        <f t="shared" si="312"/>
        <v>0</v>
      </c>
    </row>
    <row r="731" spans="1:24" ht="13" hidden="1" x14ac:dyDescent="0.3">
      <c r="A731" s="32"/>
      <c r="B731" s="744" t="s">
        <v>7</v>
      </c>
      <c r="C731" s="911"/>
      <c r="D731" s="11"/>
      <c r="E731" s="11"/>
      <c r="F731" s="10" t="s">
        <v>2</v>
      </c>
      <c r="G731" s="9" t="s">
        <v>5</v>
      </c>
      <c r="H731" s="9"/>
      <c r="I731" s="11"/>
      <c r="J731" s="1063">
        <f>J732</f>
        <v>493.39</v>
      </c>
      <c r="K731" s="1150"/>
      <c r="L731" s="1063">
        <v>555.32000000000005</v>
      </c>
      <c r="M731" s="1063">
        <v>555.32000000000005</v>
      </c>
      <c r="N731" s="2134">
        <f>N732</f>
        <v>0</v>
      </c>
      <c r="O731" s="1947">
        <f>O732</f>
        <v>493.39</v>
      </c>
      <c r="P731" s="1941">
        <f>P732</f>
        <v>493.39</v>
      </c>
      <c r="Q731" s="2057">
        <f>Q732</f>
        <v>0</v>
      </c>
      <c r="R731" s="2057">
        <f>R732</f>
        <v>0</v>
      </c>
      <c r="V731" s="2134">
        <f>V732</f>
        <v>0</v>
      </c>
      <c r="W731" s="2134">
        <f>W732</f>
        <v>0</v>
      </c>
    </row>
    <row r="732" spans="1:24" ht="13" hidden="1" x14ac:dyDescent="0.3">
      <c r="A732" s="32"/>
      <c r="B732" s="744" t="s">
        <v>6</v>
      </c>
      <c r="C732" s="911"/>
      <c r="D732" s="11"/>
      <c r="E732" s="11"/>
      <c r="F732" s="10" t="s">
        <v>2</v>
      </c>
      <c r="G732" s="9" t="s">
        <v>5</v>
      </c>
      <c r="H732" s="9" t="s">
        <v>488</v>
      </c>
      <c r="I732" s="9" t="s">
        <v>495</v>
      </c>
      <c r="J732" s="1063">
        <f>378.948+114.442</f>
        <v>493.39</v>
      </c>
      <c r="K732" s="1150"/>
      <c r="L732" s="1063">
        <v>555.32000000000005</v>
      </c>
      <c r="M732" s="1063">
        <v>555.32000000000005</v>
      </c>
      <c r="N732" s="2134"/>
      <c r="O732" s="1947">
        <f>378.948+114.442</f>
        <v>493.39</v>
      </c>
      <c r="P732" s="1941">
        <f>378.948+114.442</f>
        <v>493.39</v>
      </c>
      <c r="Q732" s="2057"/>
      <c r="R732" s="2057"/>
      <c r="V732" s="2134"/>
      <c r="W732" s="2134"/>
    </row>
    <row r="733" spans="1:24" ht="26" hidden="1" x14ac:dyDescent="0.3">
      <c r="A733" s="32"/>
      <c r="B733" s="1993" t="s">
        <v>4</v>
      </c>
      <c r="C733" s="911"/>
      <c r="D733" s="11"/>
      <c r="E733" s="11"/>
      <c r="F733" s="10" t="s">
        <v>2</v>
      </c>
      <c r="G733" s="9" t="s">
        <v>1</v>
      </c>
      <c r="H733" s="9"/>
      <c r="I733" s="9"/>
      <c r="J733" s="1142">
        <f>J734</f>
        <v>107.41</v>
      </c>
      <c r="K733" s="1150"/>
      <c r="L733" s="1150">
        <v>50.563000000000002</v>
      </c>
      <c r="M733" s="1150">
        <v>50.563000000000002</v>
      </c>
      <c r="N733" s="2135">
        <f>N734</f>
        <v>0</v>
      </c>
      <c r="O733" s="2115">
        <f>O734</f>
        <v>107.41</v>
      </c>
      <c r="P733" s="2116">
        <f>P734</f>
        <v>107.41</v>
      </c>
      <c r="Q733" s="2136">
        <f>Q734</f>
        <v>0</v>
      </c>
      <c r="R733" s="2136">
        <f>R734</f>
        <v>0</v>
      </c>
      <c r="V733" s="2135">
        <f>V734</f>
        <v>0</v>
      </c>
      <c r="W733" s="2135">
        <f>W734</f>
        <v>0</v>
      </c>
    </row>
    <row r="734" spans="1:24" ht="13.5" hidden="1" thickBot="1" x14ac:dyDescent="0.3">
      <c r="A734" s="26"/>
      <c r="B734" s="943" t="s">
        <v>3</v>
      </c>
      <c r="C734" s="896"/>
      <c r="D734" s="897"/>
      <c r="E734" s="897"/>
      <c r="F734" s="898" t="s">
        <v>2</v>
      </c>
      <c r="G734" s="25" t="s">
        <v>1</v>
      </c>
      <c r="H734" s="25" t="s">
        <v>488</v>
      </c>
      <c r="I734" s="25" t="s">
        <v>495</v>
      </c>
      <c r="J734" s="1154">
        <f>86.41+21</f>
        <v>107.41</v>
      </c>
      <c r="K734" s="1155"/>
      <c r="L734" s="1155">
        <v>50.563000000000002</v>
      </c>
      <c r="M734" s="1155">
        <v>50.563000000000002</v>
      </c>
      <c r="N734" s="2137"/>
      <c r="O734" s="1947">
        <f>86.41+21</f>
        <v>107.41</v>
      </c>
      <c r="P734" s="1941">
        <f>86.41+21</f>
        <v>107.41</v>
      </c>
      <c r="Q734" s="2138"/>
      <c r="R734" s="2138"/>
      <c r="V734" s="2137"/>
      <c r="W734" s="2137"/>
    </row>
    <row r="736" spans="1:24" x14ac:dyDescent="0.25">
      <c r="S736" s="2">
        <v>170.6</v>
      </c>
      <c r="T736" s="2">
        <v>152.1</v>
      </c>
      <c r="U736" s="2">
        <v>938.1</v>
      </c>
    </row>
    <row r="743" spans="2:2" ht="13" x14ac:dyDescent="0.3">
      <c r="B743" s="195"/>
    </row>
  </sheetData>
  <mergeCells count="24">
    <mergeCell ref="G683:J683"/>
    <mergeCell ref="B18:J18"/>
    <mergeCell ref="A19:R19"/>
    <mergeCell ref="A20:R20"/>
    <mergeCell ref="A21:R21"/>
    <mergeCell ref="A22:R22"/>
    <mergeCell ref="A23:R23"/>
    <mergeCell ref="G133:J133"/>
    <mergeCell ref="G134:J134"/>
    <mergeCell ref="G636:J636"/>
    <mergeCell ref="G637:J637"/>
    <mergeCell ref="G682:J682"/>
    <mergeCell ref="G11:N11"/>
    <mergeCell ref="Q11:R11"/>
    <mergeCell ref="I8:N8"/>
    <mergeCell ref="Q8:R8"/>
    <mergeCell ref="F9:N9"/>
    <mergeCell ref="Q9:R9"/>
    <mergeCell ref="Q10:R10"/>
    <mergeCell ref="V1:W1"/>
    <mergeCell ref="V2:W2"/>
    <mergeCell ref="V3:W3"/>
    <mergeCell ref="V4:W4"/>
    <mergeCell ref="V5:W5"/>
  </mergeCells>
  <pageMargins left="0.59055118110236227" right="0.15748031496062992" top="0.45" bottom="0.31496062992125984" header="0.35433070866141736" footer="0.19685039370078741"/>
  <pageSetup paperSize="9" scale="39" firstPageNumber="55" fitToHeight="4" orientation="portrait" useFirstPageNumber="1" r:id="rId1"/>
  <headerFooter alignWithMargins="0"/>
  <rowBreaks count="1" manualBreakCount="1">
    <brk id="257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997"/>
      <c r="J2" s="2997"/>
      <c r="K2" s="2997"/>
      <c r="L2" s="2997"/>
      <c r="M2" s="2997"/>
      <c r="N2" s="2997"/>
      <c r="O2" s="1910"/>
      <c r="P2" s="1909"/>
      <c r="Q2" s="3484" t="s">
        <v>450</v>
      </c>
      <c r="R2" s="3484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997"/>
      <c r="G3" s="2997"/>
      <c r="H3" s="2997"/>
      <c r="I3" s="2997"/>
      <c r="J3" s="2997"/>
      <c r="K3" s="2997"/>
      <c r="L3" s="2997"/>
      <c r="M3" s="2997"/>
      <c r="N3" s="2997"/>
      <c r="O3" s="1909"/>
      <c r="P3" s="1909"/>
      <c r="Q3" s="3484" t="s">
        <v>449</v>
      </c>
      <c r="R3" s="3484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484" t="s">
        <v>448</v>
      </c>
      <c r="R4" s="3484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3258"/>
      <c r="H5" s="3258"/>
      <c r="I5" s="3258"/>
      <c r="J5" s="3258"/>
      <c r="K5" s="3258"/>
      <c r="L5" s="3258"/>
      <c r="M5" s="3258"/>
      <c r="N5" s="3258"/>
      <c r="O5" s="1913"/>
      <c r="P5" s="1913"/>
      <c r="Q5" s="3483" t="s">
        <v>991</v>
      </c>
      <c r="R5" s="3483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3488"/>
      <c r="C12" s="3488"/>
      <c r="D12" s="3488"/>
      <c r="E12" s="3488"/>
      <c r="F12" s="3488"/>
      <c r="G12" s="3488"/>
      <c r="H12" s="3488"/>
      <c r="I12" s="3488"/>
      <c r="J12" s="348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3489" t="s">
        <v>441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3489"/>
      <c r="N13" s="3489"/>
      <c r="O13" s="3489"/>
      <c r="P13" s="3489"/>
      <c r="Q13" s="3489"/>
      <c r="R13" s="3489"/>
    </row>
    <row r="14" spans="1:256" ht="17.5" customHeight="1" x14ac:dyDescent="0.3">
      <c r="A14" s="3490" t="s">
        <v>440</v>
      </c>
      <c r="B14" s="3490"/>
      <c r="C14" s="3490"/>
      <c r="D14" s="3490"/>
      <c r="E14" s="3490"/>
      <c r="F14" s="3490"/>
      <c r="G14" s="3490"/>
      <c r="H14" s="3490"/>
      <c r="I14" s="3490"/>
      <c r="J14" s="3490"/>
      <c r="K14" s="3490"/>
      <c r="L14" s="3490"/>
      <c r="M14" s="3490"/>
      <c r="N14" s="3490"/>
      <c r="O14" s="3490"/>
      <c r="P14" s="3490"/>
      <c r="Q14" s="3490"/>
      <c r="R14" s="3490"/>
    </row>
    <row r="15" spans="1:256" ht="15" customHeight="1" x14ac:dyDescent="0.3">
      <c r="A15" s="3489" t="s">
        <v>439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3489"/>
      <c r="R15" s="3489"/>
    </row>
    <row r="16" spans="1:256" ht="13.5" customHeight="1" x14ac:dyDescent="0.3">
      <c r="A16" s="3489" t="s">
        <v>438</v>
      </c>
      <c r="B16" s="3489"/>
      <c r="C16" s="3489"/>
      <c r="D16" s="3489"/>
      <c r="E16" s="3489"/>
      <c r="F16" s="3489"/>
      <c r="G16" s="3489"/>
      <c r="H16" s="3489"/>
      <c r="I16" s="3489"/>
      <c r="J16" s="3489"/>
      <c r="K16" s="3489"/>
      <c r="L16" s="3489"/>
      <c r="M16" s="3489"/>
      <c r="N16" s="3489"/>
      <c r="O16" s="3489"/>
      <c r="P16" s="3489"/>
      <c r="Q16" s="3489"/>
      <c r="R16" s="3489"/>
    </row>
    <row r="17" spans="1:24" ht="16.149999999999999" customHeight="1" x14ac:dyDescent="0.3">
      <c r="A17" s="3489" t="s">
        <v>969</v>
      </c>
      <c r="B17" s="3489"/>
      <c r="C17" s="3489"/>
      <c r="D17" s="3489"/>
      <c r="E17" s="3489"/>
      <c r="F17" s="3489"/>
      <c r="G17" s="3489"/>
      <c r="H17" s="3489"/>
      <c r="I17" s="3489"/>
      <c r="J17" s="3489"/>
      <c r="K17" s="3489"/>
      <c r="L17" s="3489"/>
      <c r="M17" s="3489"/>
      <c r="N17" s="3489"/>
      <c r="O17" s="3489"/>
      <c r="P17" s="3489"/>
      <c r="Q17" s="3489"/>
      <c r="R17" s="3489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91" t="s">
        <v>20</v>
      </c>
      <c r="H127" s="3492"/>
      <c r="I127" s="3492"/>
      <c r="J127" s="3493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85" t="s">
        <v>17</v>
      </c>
      <c r="H128" s="3486"/>
      <c r="I128" s="3486"/>
      <c r="J128" s="3487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5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3485"/>
      <c r="H513" s="3486"/>
      <c r="I513" s="3486"/>
      <c r="J513" s="3487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3485"/>
      <c r="H514" s="3486"/>
      <c r="I514" s="3486"/>
      <c r="J514" s="3487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485" t="s">
        <v>20</v>
      </c>
      <c r="H548" s="3486"/>
      <c r="I548" s="3486"/>
      <c r="J548" s="3487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485" t="s">
        <v>17</v>
      </c>
      <c r="H549" s="3486"/>
      <c r="I549" s="3486"/>
      <c r="J549" s="3487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997"/>
      <c r="J2" s="2997"/>
      <c r="K2" s="2997"/>
      <c r="L2" s="2997"/>
      <c r="M2" s="2997"/>
      <c r="N2" s="2997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997"/>
      <c r="G3" s="2997"/>
      <c r="H3" s="2997"/>
      <c r="I3" s="2997"/>
      <c r="J3" s="2997"/>
      <c r="K3" s="2997"/>
      <c r="L3" s="2997"/>
      <c r="M3" s="2997"/>
      <c r="N3" s="2997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3001"/>
      <c r="H5" s="3001"/>
      <c r="I5" s="3001"/>
      <c r="J5" s="3001"/>
      <c r="K5" s="3001"/>
      <c r="L5" s="3001"/>
      <c r="M5" s="3001"/>
      <c r="N5" s="3001"/>
      <c r="O5" s="449"/>
      <c r="P5" s="449"/>
      <c r="Q5" s="3001" t="s">
        <v>991</v>
      </c>
      <c r="R5" s="3001"/>
      <c r="S5" s="3001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3488"/>
      <c r="C12" s="3488"/>
      <c r="D12" s="3488"/>
      <c r="E12" s="3488"/>
      <c r="F12" s="3488"/>
      <c r="G12" s="3488"/>
      <c r="H12" s="3488"/>
      <c r="I12" s="3488"/>
      <c r="J12" s="348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3489" t="s">
        <v>441</v>
      </c>
      <c r="B13" s="3489"/>
      <c r="C13" s="3489"/>
      <c r="D13" s="3489"/>
      <c r="E13" s="3489"/>
      <c r="F13" s="3489"/>
      <c r="G13" s="3489"/>
      <c r="H13" s="3489"/>
      <c r="I13" s="3489"/>
      <c r="J13" s="3489"/>
      <c r="K13" s="3489"/>
      <c r="L13" s="3489"/>
      <c r="M13" s="3489"/>
      <c r="N13" s="3489"/>
      <c r="O13" s="3489"/>
      <c r="P13" s="3489"/>
      <c r="Q13" s="3489"/>
      <c r="R13" s="3489"/>
    </row>
    <row r="14" spans="1:256" ht="17.5" customHeight="1" x14ac:dyDescent="0.3">
      <c r="A14" s="3489" t="s">
        <v>440</v>
      </c>
      <c r="B14" s="3489"/>
      <c r="C14" s="3489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</row>
    <row r="15" spans="1:256" ht="15" customHeight="1" x14ac:dyDescent="0.3">
      <c r="A15" s="3489" t="s">
        <v>439</v>
      </c>
      <c r="B15" s="3489"/>
      <c r="C15" s="3489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3489"/>
      <c r="R15" s="3489"/>
    </row>
    <row r="16" spans="1:256" ht="13.5" customHeight="1" x14ac:dyDescent="0.3">
      <c r="A16" s="3489" t="s">
        <v>438</v>
      </c>
      <c r="B16" s="3489"/>
      <c r="C16" s="3489"/>
      <c r="D16" s="3489"/>
      <c r="E16" s="3489"/>
      <c r="F16" s="3489"/>
      <c r="G16" s="3489"/>
      <c r="H16" s="3489"/>
      <c r="I16" s="3489"/>
      <c r="J16" s="3489"/>
      <c r="K16" s="3489"/>
      <c r="L16" s="3489"/>
      <c r="M16" s="3489"/>
      <c r="N16" s="3489"/>
      <c r="O16" s="3489"/>
      <c r="P16" s="3489"/>
      <c r="Q16" s="3489"/>
      <c r="R16" s="3489"/>
    </row>
    <row r="17" spans="1:24" ht="16.149999999999999" customHeight="1" x14ac:dyDescent="0.3">
      <c r="A17" s="3489" t="s">
        <v>994</v>
      </c>
      <c r="B17" s="3489"/>
      <c r="C17" s="3489"/>
      <c r="D17" s="3489"/>
      <c r="E17" s="3489"/>
      <c r="F17" s="3489"/>
      <c r="G17" s="3489"/>
      <c r="H17" s="3489"/>
      <c r="I17" s="3489"/>
      <c r="J17" s="3489"/>
      <c r="K17" s="3489"/>
      <c r="L17" s="3489"/>
      <c r="M17" s="3489"/>
      <c r="N17" s="3489"/>
      <c r="O17" s="3489"/>
      <c r="P17" s="3489"/>
      <c r="Q17" s="3489"/>
      <c r="R17" s="3489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91" t="s">
        <v>20</v>
      </c>
      <c r="H127" s="3492"/>
      <c r="I127" s="3492"/>
      <c r="J127" s="3493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85" t="s">
        <v>17</v>
      </c>
      <c r="H128" s="3486"/>
      <c r="I128" s="3486"/>
      <c r="J128" s="3487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52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52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13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485" t="s">
        <v>20</v>
      </c>
      <c r="H481" s="3486"/>
      <c r="I481" s="3486"/>
      <c r="J481" s="3487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485" t="s">
        <v>17</v>
      </c>
      <c r="H482" s="3486"/>
      <c r="I482" s="3486"/>
      <c r="J482" s="3487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485" t="s">
        <v>20</v>
      </c>
      <c r="H510" s="3486"/>
      <c r="I510" s="3486"/>
      <c r="J510" s="3487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485" t="s">
        <v>17</v>
      </c>
      <c r="H511" s="3486"/>
      <c r="I511" s="3486"/>
      <c r="J511" s="3487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2997"/>
      <c r="Q1" s="2997"/>
      <c r="R1" s="2997"/>
      <c r="S1" s="2997"/>
      <c r="T1" s="2997"/>
      <c r="U1" s="2997"/>
    </row>
    <row r="2" spans="1:23" ht="15.5" x14ac:dyDescent="0.35">
      <c r="I2" s="2997" t="s">
        <v>450</v>
      </c>
      <c r="J2" s="2997"/>
      <c r="K2" s="2997"/>
      <c r="L2" s="2997"/>
      <c r="M2" s="2997"/>
      <c r="N2" s="2997"/>
      <c r="O2" s="5"/>
      <c r="P2" s="2997"/>
      <c r="Q2" s="2997"/>
      <c r="R2" s="2997"/>
      <c r="S2" s="2997"/>
      <c r="T2" s="2997"/>
      <c r="U2" s="2997"/>
    </row>
    <row r="3" spans="1:23" ht="15.5" x14ac:dyDescent="0.35">
      <c r="C3" s="261"/>
      <c r="D3" s="261"/>
      <c r="E3" s="261"/>
      <c r="F3" s="2997" t="s">
        <v>449</v>
      </c>
      <c r="G3" s="2997"/>
      <c r="H3" s="2997"/>
      <c r="I3" s="2997"/>
      <c r="J3" s="2997"/>
      <c r="K3" s="2997"/>
      <c r="L3" s="2997"/>
      <c r="M3" s="2997"/>
      <c r="N3" s="2997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997"/>
      <c r="Q4" s="2997"/>
      <c r="R4" s="2997"/>
      <c r="S4" s="2997"/>
      <c r="T4" s="2997"/>
      <c r="U4" s="2997"/>
    </row>
    <row r="5" spans="1:23" ht="15.5" x14ac:dyDescent="0.25">
      <c r="D5" s="258" t="s">
        <v>447</v>
      </c>
      <c r="E5" s="258"/>
      <c r="F5" s="258"/>
      <c r="G5" s="3001" t="s">
        <v>895</v>
      </c>
      <c r="H5" s="3001"/>
      <c r="I5" s="3001"/>
      <c r="J5" s="3001"/>
      <c r="K5" s="3001"/>
      <c r="L5" s="3001"/>
      <c r="M5" s="3001"/>
      <c r="N5" s="3001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3488"/>
      <c r="C12" s="3488"/>
      <c r="D12" s="3488"/>
      <c r="E12" s="3488"/>
      <c r="F12" s="3488"/>
      <c r="G12" s="3488"/>
      <c r="H12" s="3488"/>
      <c r="I12" s="3488"/>
      <c r="J12" s="348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3494" t="s">
        <v>440</v>
      </c>
      <c r="B14" s="3494"/>
      <c r="C14" s="3494"/>
      <c r="D14" s="3494"/>
      <c r="E14" s="3494"/>
      <c r="F14" s="3494"/>
      <c r="G14" s="3494"/>
      <c r="H14" s="3494"/>
      <c r="I14" s="3494"/>
      <c r="J14" s="3494"/>
      <c r="K14" s="238"/>
      <c r="L14" s="1"/>
      <c r="M14" s="1"/>
      <c r="N14" s="1"/>
      <c r="O14" s="1"/>
      <c r="P14" s="1"/>
    </row>
    <row r="15" spans="1:23" ht="15" customHeight="1" x14ac:dyDescent="0.35">
      <c r="A15" s="3494" t="s">
        <v>439</v>
      </c>
      <c r="B15" s="3494"/>
      <c r="C15" s="3494"/>
      <c r="D15" s="3494"/>
      <c r="E15" s="3494"/>
      <c r="F15" s="3494"/>
      <c r="G15" s="3494"/>
      <c r="H15" s="3494"/>
      <c r="I15" s="3494"/>
      <c r="J15" s="3494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3494" t="s">
        <v>896</v>
      </c>
      <c r="B17" s="3494"/>
      <c r="C17" s="3494"/>
      <c r="D17" s="3494"/>
      <c r="E17" s="3494"/>
      <c r="F17" s="3494"/>
      <c r="G17" s="3494"/>
      <c r="H17" s="3494"/>
      <c r="I17" s="3494"/>
      <c r="J17" s="3494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8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52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91" t="s">
        <v>20</v>
      </c>
      <c r="H127" s="3492"/>
      <c r="I127" s="3492"/>
      <c r="J127" s="3493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85" t="s">
        <v>17</v>
      </c>
      <c r="H128" s="3486"/>
      <c r="I128" s="3486"/>
      <c r="J128" s="3487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52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9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52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13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485" t="s">
        <v>20</v>
      </c>
      <c r="H459" s="3486"/>
      <c r="I459" s="3486"/>
      <c r="J459" s="3487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485" t="s">
        <v>17</v>
      </c>
      <c r="H460" s="3486"/>
      <c r="I460" s="3486"/>
      <c r="J460" s="3487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485" t="s">
        <v>20</v>
      </c>
      <c r="H488" s="3486"/>
      <c r="I488" s="3486"/>
      <c r="J488" s="3487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485" t="s">
        <v>17</v>
      </c>
      <c r="H489" s="3486"/>
      <c r="I489" s="3486"/>
      <c r="J489" s="3487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30</vt:i4>
      </vt:variant>
    </vt:vector>
  </HeadingPairs>
  <TitlesOfParts>
    <vt:vector size="63" baseType="lpstr">
      <vt:lpstr>прил2 дох 2019-2021 </vt:lpstr>
      <vt:lpstr>прил4 дох 2020 21</vt:lpstr>
      <vt:lpstr>прил2 дох 2021-2023..</vt:lpstr>
      <vt:lpstr>прил2 дох 2020-2022.</vt:lpstr>
      <vt:lpstr>прил2 дох 2021-2023</vt:lpstr>
      <vt:lpstr>прил 5 2021-2023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2021-2023</vt:lpstr>
      <vt:lpstr>прил7 2021-2023</vt:lpstr>
      <vt:lpstr>прил 10 2021-2023</vt:lpstr>
      <vt:lpstr>прил8 2021-2022.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2021-2023.</vt:lpstr>
      <vt:lpstr>прил 7 2021-2023</vt:lpstr>
      <vt:lpstr>прил8 2021-2022</vt:lpstr>
      <vt:lpstr>прил 10 2021-2023..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2021-2023'!Область_печати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7 2021-2023.'!Область_печати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2021-2023'!Область_печати</vt:lpstr>
      <vt:lpstr>'прил2 дох 2021-2023..'!Область_печати</vt:lpstr>
      <vt:lpstr>'прил4 дох 2020 21'!Область_печати</vt:lpstr>
      <vt:lpstr>'прил7 2021-2023'!Область_печати</vt:lpstr>
      <vt:lpstr>'прил8 2020-2022 '!Область_печати</vt:lpstr>
      <vt:lpstr>'прил8 2021-2022'!Область_печати</vt:lpstr>
      <vt:lpstr>'прил8 2021-2022.'!Область_печати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2021-09-23T08:14:13Z</cp:lastPrinted>
  <dcterms:created xsi:type="dcterms:W3CDTF">2016-11-18T06:27:13Z</dcterms:created>
  <dcterms:modified xsi:type="dcterms:W3CDTF">2021-09-23T08:15:16Z</dcterms:modified>
</cp:coreProperties>
</file>